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5521" yWindow="65521" windowWidth="12255" windowHeight="6075" tabRatio="948" activeTab="0"/>
  </bookViews>
  <sheets>
    <sheet name="KGPCo Projected TCOS" sheetId="1" r:id="rId1"/>
    <sheet name="KGPCo Historic TCOS" sheetId="2" r:id="rId2"/>
    <sheet name="KGPCo True-UP TCOS" sheetId="3" r:id="rId3"/>
    <sheet name="KGPCo WS A  - RB Support " sheetId="4" r:id="rId4"/>
    <sheet name="KGPCo WS B ADIT &amp; ITC" sheetId="5" r:id="rId5"/>
    <sheet name="KGPCo WS C  - Working Capital" sheetId="6" r:id="rId6"/>
    <sheet name="KGPCo WS D IPP Credits" sheetId="7" r:id="rId7"/>
    <sheet name="KGPCo WS E Rev Credits" sheetId="8" r:id="rId8"/>
    <sheet name="KGPCo WS F Misc Exp" sheetId="9" r:id="rId9"/>
    <sheet name="KGPCo WS G  State Tax Rate" sheetId="10" r:id="rId10"/>
    <sheet name="KGPCo WS H Other Taxes" sheetId="11" r:id="rId11"/>
    <sheet name="KGPCo WS H-1-Detail of Tax Amts" sheetId="12" r:id="rId12"/>
    <sheet name="KGPCo WS I Projected Plant" sheetId="13" r:id="rId13"/>
    <sheet name="KGPCo WS J PROJECTED RTEP RR" sheetId="14" r:id="rId14"/>
    <sheet name="KGPCo WS K TRUE-UP RTEP RR" sheetId="15" r:id="rId15"/>
    <sheet name="KGPCo WS L Cost of Debt" sheetId="16" r:id="rId16"/>
    <sheet name="KGPCo WS M - Avg Cap Structure" sheetId="17" r:id="rId17"/>
    <sheet name="KGPCo WS N - Sale of Plant Held" sheetId="18" r:id="rId18"/>
    <sheet name="KGPCo -WS O" sheetId="19" r:id="rId19"/>
    <sheet name="KG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'KGPCo Historic TCOS'!$I$383:$J$391</definedName>
    <definedName name="APCo_Proj_Allocators" localSheetId="11">#REF!</definedName>
    <definedName name="APCo_Proj_Allocators">'KGPCo Projected TCOS'!$I$361:$J$369</definedName>
    <definedName name="APCo_TU_Allocators" localSheetId="11">#REF!</definedName>
    <definedName name="APCo_TU_Allocators">'KGPCo True-UP TCOS'!$I$384:$J$392</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'KGPCo Projected TCOS'!$I$361:$J$369</definedName>
    <definedName name="IM_Allocators" localSheetId="2">'KGPCo True-UP TCOS'!$I$384:$J$392</definedName>
    <definedName name="IM_Allocators" localSheetId="11">#REF!</definedName>
    <definedName name="IM_Allocators">'KGPCo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'KGPCo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'KGPCo Projected TCOS'!$J$100</definedName>
    <definedName name="NP_h" localSheetId="2">'KGPCo True-UP TCOS'!$J$100</definedName>
    <definedName name="NP_h" localSheetId="11">'[3]KGPCo Historic TCOS'!$J$100</definedName>
    <definedName name="NP_h">'KGPCo Historic TCOS'!$J$100</definedName>
    <definedName name="NP_h1">#REF!</definedName>
    <definedName name="NPh" localSheetId="0">'KGPCo Projected TCOS'!$J$100</definedName>
    <definedName name="NPh" localSheetId="2">'KGPCo True-UP TCOS'!$J$100</definedName>
    <definedName name="NPh" localSheetId="11">#REF!</definedName>
    <definedName name="NPh">'KGPCo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'KGPCo Historic TCOS'!$A$1:$L$358</definedName>
    <definedName name="_xlnm.Print_Area" localSheetId="0">'KGPCo Projected TCOS'!$A$1:$L$358</definedName>
    <definedName name="_xlnm.Print_Area" localSheetId="2">'KGPCo True-UP TCOS'!$A$1:$L$360</definedName>
    <definedName name="_xlnm.Print_Area" localSheetId="3">'KGPCo WS A  - RB Support '!$A$1:$G$93</definedName>
    <definedName name="_xlnm.Print_Area" localSheetId="4">'KGPCo WS B ADIT &amp; ITC'!$A$1:$I$54</definedName>
    <definedName name="_xlnm.Print_Area" localSheetId="5">'KGPCo WS C  - Working Capital'!$A$1:$L$74</definedName>
    <definedName name="_xlnm.Print_Area" localSheetId="6">'KGPCo WS D IPP Credits'!$A$1:$E$26</definedName>
    <definedName name="_xlnm.Print_Area" localSheetId="7">'KGPCo WS E Rev Credits'!$A$1:$K$28</definedName>
    <definedName name="_xlnm.Print_Area" localSheetId="8">'KGPCo WS F Misc Exp'!$A$1:$G$72</definedName>
    <definedName name="_xlnm.Print_Area" localSheetId="9">'KGPCo WS G  State Tax Rate'!$A$1:$H$21</definedName>
    <definedName name="_xlnm.Print_Area" localSheetId="10">'KGPCo WS H Other Taxes'!$A$1:$M$61</definedName>
    <definedName name="_xlnm.Print_Area" localSheetId="11">'KGPCo WS H-1-Detail of Tax Amts'!$A$1:$G$65</definedName>
    <definedName name="_xlnm.Print_Area" localSheetId="12">'KGPCo WS I Projected Plant'!$A$1:$J$54</definedName>
    <definedName name="_xlnm.Print_Area" localSheetId="13">'KGPCo WS J PROJECTED RTEP RR'!$A$1:$O$169</definedName>
    <definedName name="_xlnm.Print_Area" localSheetId="15">'KGPCo WS L Cost of Debt'!$A$1:$F$65</definedName>
    <definedName name="_xlnm.Print_Area" localSheetId="16">'KGPCo WS M - Avg Cap Structure'!$A$1:$I$88</definedName>
    <definedName name="_xlnm.Print_Area" localSheetId="17">'KGPCo WS N - Sale of Plant Held'!$A$1:$U$33</definedName>
    <definedName name="_xlnm.Print_Area" localSheetId="18">'KGPCo -WS O'!$A$1:$K$46</definedName>
    <definedName name="_xlnm.Print_Area" localSheetId="19">'KGPCo-WS P Dep. Rates'!$A$1:$D$38</definedName>
    <definedName name="_xlnm.Print_Titles" localSheetId="0">'KGPCo Projected TCOS'!$A:$F</definedName>
    <definedName name="_xlnm.Print_Titles" localSheetId="3">'KGPCo WS A  - RB Support '!$2:$9</definedName>
    <definedName name="_xlnm.Print_Titles" localSheetId="5">'KGPCo WS C  - Working Capital'!$1:$7</definedName>
    <definedName name="_xlnm.Print_Titles" localSheetId="10">'KGPCo WS H Other Taxes'!$1:$5</definedName>
    <definedName name="_xlnm.Print_Titles" localSheetId="11">'KGPCo WS H-1-Detail of Tax Amts'!$1:$5</definedName>
    <definedName name="_xlnm.Print_Titles" localSheetId="18">'KGPCo -WS O'!$1:$59</definedName>
    <definedName name="_xlnm.Print_Titles" localSheetId="19">'KGPCo-WS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'KGPCo Projected TCOS'!$I$346:$J$360</definedName>
    <definedName name="PSOallocatorsH" localSheetId="2">'KGPCo True-UP TCOS'!$I$426:$J$437</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'KGPCo WS A  - RB Support '!#REF!</definedName>
    <definedName name="Z_3768C7C8_9953_11DA_B318_000FB55D51DC_.wvu.PrintArea" localSheetId="5" hidden="1">'KGPCo WS C  - Working Capital'!$A$8:$N$74</definedName>
    <definedName name="Z_3768C7C8_9953_11DA_B318_000FB55D51DC_.wvu.PrintTitles" localSheetId="3" hidden="1">'KGPCo WS A  - RB Support '!#REF!</definedName>
    <definedName name="Z_3768C7C8_9953_11DA_B318_000FB55D51DC_.wvu.PrintTitles" localSheetId="5" hidden="1">'KGPCo WS C  - Working Capital'!#REF!</definedName>
    <definedName name="Z_3768C7C8_9953_11DA_B318_000FB55D51DC_.wvu.Rows" localSheetId="3" hidden="1">'KGPCo WS A  - RB Support '!#REF!</definedName>
    <definedName name="Z_3768C7C8_9953_11DA_B318_000FB55D51DC_.wvu.Rows" localSheetId="5" hidden="1">'KGPCo WS C  - Working Capital'!#REF!</definedName>
    <definedName name="Z_3BDD6235_B127_4929_8311_BDAF7BB89818_.wvu.PrintArea" localSheetId="3" hidden="1">'KGPCo WS A  - RB Support '!#REF!</definedName>
    <definedName name="Z_3BDD6235_B127_4929_8311_BDAF7BB89818_.wvu.PrintArea" localSheetId="5" hidden="1">'KGPCo WS C  - Working Capital'!$A$8:$N$74</definedName>
    <definedName name="Z_3BDD6235_B127_4929_8311_BDAF7BB89818_.wvu.PrintTitles" localSheetId="3" hidden="1">'KGPCo WS A  - RB Support '!#REF!</definedName>
    <definedName name="Z_3BDD6235_B127_4929_8311_BDAF7BB89818_.wvu.PrintTitles" localSheetId="5" hidden="1">'KGPCo WS C  - Working Capital'!#REF!</definedName>
    <definedName name="Z_3BDD6235_B127_4929_8311_BDAF7BB89818_.wvu.Rows" localSheetId="3" hidden="1">'KGPCo WS A  - RB Support '!#REF!</definedName>
    <definedName name="Z_3BDD6235_B127_4929_8311_BDAF7BB89818_.wvu.Rows" localSheetId="5" hidden="1">'KGPCo WS C  - Working Capital'!#REF!</definedName>
    <definedName name="Z_B0241363_5C8A_48FC_89A6_56D55586BABE_.wvu.PrintArea" localSheetId="3" hidden="1">'KGPCo WS A  - RB Support '!#REF!</definedName>
    <definedName name="Z_B0241363_5C8A_48FC_89A6_56D55586BABE_.wvu.PrintArea" localSheetId="5" hidden="1">'KGPCo WS C  - Working Capital'!$A$8:$N$74</definedName>
    <definedName name="Z_B0241363_5C8A_48FC_89A6_56D55586BABE_.wvu.PrintTitles" localSheetId="3" hidden="1">'KGPCo WS A  - RB Support '!#REF!</definedName>
    <definedName name="Z_B0241363_5C8A_48FC_89A6_56D55586BABE_.wvu.PrintTitles" localSheetId="5" hidden="1">'KGPCo WS C  - Working Capital'!#REF!</definedName>
    <definedName name="Z_B0241363_5C8A_48FC_89A6_56D55586BABE_.wvu.Rows" localSheetId="3" hidden="1">'KGPCo WS A  - RB Support '!#REF!</definedName>
    <definedName name="Z_B0241363_5C8A_48FC_89A6_56D55586BABE_.wvu.Rows" localSheetId="5" hidden="1">'KGPCo WS C  - Working Capital'!#REF!</definedName>
    <definedName name="Z_C0EA0F9F_7310_4201_82C9_7B8FC8DB9137_.wvu.PrintArea" localSheetId="3" hidden="1">'KGPCo WS A  - RB Support '!#REF!</definedName>
    <definedName name="Z_C0EA0F9F_7310_4201_82C9_7B8FC8DB9137_.wvu.PrintArea" localSheetId="5" hidden="1">'KGPCo WS C  - Working Capital'!$A$8:$N$74</definedName>
    <definedName name="Z_C0EA0F9F_7310_4201_82C9_7B8FC8DB9137_.wvu.PrintTitles" localSheetId="3" hidden="1">'KGPCo WS A  - RB Support '!#REF!</definedName>
    <definedName name="Z_C0EA0F9F_7310_4201_82C9_7B8FC8DB9137_.wvu.PrintTitles" localSheetId="5" hidden="1">'KGPCo WS C  - Working Capital'!#REF!</definedName>
    <definedName name="Z_C0EA0F9F_7310_4201_82C9_7B8FC8DB9137_.wvu.Rows" localSheetId="3" hidden="1">'KGPCo WS A  - RB Support '!#REF!</definedName>
    <definedName name="Z_C0EA0F9F_7310_4201_82C9_7B8FC8DB9137_.wvu.Rows" localSheetId="5" hidden="1">'KGPCo WS C  - Working Capital'!#REF!</definedName>
    <definedName name="Z_C5140E12_E05E_4473_9142_42F37320A417_.wvu.Cols" localSheetId="10" hidden="1">'KGPCo WS H Other Taxes'!$N:$N</definedName>
    <definedName name="Z_C5140E12_E05E_4473_9142_42F37320A417_.wvu.Cols" localSheetId="11" hidden="1">'KGPCo WS H-1-Detail of Tax Amts'!#REF!</definedName>
    <definedName name="Z_C5140E12_E05E_4473_9142_42F37320A417_.wvu.PrintArea" localSheetId="1" hidden="1">'KGPCo Historic TCOS'!$B$1:$L$358</definedName>
    <definedName name="Z_C5140E12_E05E_4473_9142_42F37320A417_.wvu.PrintArea" localSheetId="0" hidden="1">'KGPCo Projected TCOS'!$B$1:$L$358</definedName>
    <definedName name="Z_C5140E12_E05E_4473_9142_42F37320A417_.wvu.PrintArea" localSheetId="2" hidden="1">'KGPCo True-UP TCOS'!$B$1:$L$358</definedName>
    <definedName name="Z_C5140E12_E05E_4473_9142_42F37320A417_.wvu.PrintArea" localSheetId="3" hidden="1">'KGPCo WS A  - RB Support '!$A$1:$G$89</definedName>
    <definedName name="Z_C5140E12_E05E_4473_9142_42F37320A417_.wvu.PrintArea" localSheetId="4" hidden="1">'KGPCo WS B ADIT &amp; ITC'!$A$1:$I$54</definedName>
    <definedName name="Z_C5140E12_E05E_4473_9142_42F37320A417_.wvu.PrintArea" localSheetId="5" hidden="1">'KGPCo WS C  - Working Capital'!$A$1:$L$74</definedName>
    <definedName name="Z_C5140E12_E05E_4473_9142_42F37320A417_.wvu.PrintArea" localSheetId="6" hidden="1">'KGPCo WS D IPP Credits'!$A$1:$E$26</definedName>
    <definedName name="Z_C5140E12_E05E_4473_9142_42F37320A417_.wvu.PrintArea" localSheetId="7" hidden="1">'KGPCo WS E Rev Credits'!$A$1:$K$27</definedName>
    <definedName name="Z_C5140E12_E05E_4473_9142_42F37320A417_.wvu.PrintArea" localSheetId="8" hidden="1">'KGPCo WS F Misc Exp'!$A$1:$G$72</definedName>
    <definedName name="Z_C5140E12_E05E_4473_9142_42F37320A417_.wvu.PrintArea" localSheetId="9" hidden="1">'KGPCo WS G  State Tax Rate'!$A$1:$H$20</definedName>
    <definedName name="Z_C5140E12_E05E_4473_9142_42F37320A417_.wvu.PrintArea" localSheetId="10" hidden="1">'KGPCo WS H Other Taxes'!$A$1:$N$61</definedName>
    <definedName name="Z_C5140E12_E05E_4473_9142_42F37320A417_.wvu.PrintArea" localSheetId="11" hidden="1">'KGPCo WS H-1-Detail of Tax Amts'!$A$1:$F$60</definedName>
    <definedName name="Z_C5140E12_E05E_4473_9142_42F37320A417_.wvu.PrintArea" localSheetId="12" hidden="1">'KGPCo WS I Projected Plant'!$A$1:$J$54</definedName>
    <definedName name="Z_C5140E12_E05E_4473_9142_42F37320A417_.wvu.PrintArea" localSheetId="13" hidden="1">'KGPCo WS J PROJECTED RTEP RR'!$A$1:$O$166</definedName>
    <definedName name="Z_C5140E12_E05E_4473_9142_42F37320A417_.wvu.PrintArea" localSheetId="14" hidden="1">'KGPCo WS K TRUE-UP RTEP RR'!$A$1:$P$166</definedName>
    <definedName name="Z_C5140E12_E05E_4473_9142_42F37320A417_.wvu.PrintArea" localSheetId="15" hidden="1">'KGPCo WS L Cost of Debt'!$B$1:$F$61</definedName>
    <definedName name="Z_C5140E12_E05E_4473_9142_42F37320A417_.wvu.PrintTitles" localSheetId="3" hidden="1">'KGPCo WS A  - RB Support '!$2:$9</definedName>
    <definedName name="Z_C5140E12_E05E_4473_9142_42F37320A417_.wvu.PrintTitles" localSheetId="5" hidden="1">'KGPCo WS C  - Working Capital'!$1:$7</definedName>
    <definedName name="Z_C5140E12_E05E_4473_9142_42F37320A417_.wvu.PrintTitles" localSheetId="10" hidden="1">'KGPCo WS H Other Taxes'!$1:$5</definedName>
    <definedName name="Z_C5140E12_E05E_4473_9142_42F37320A417_.wvu.PrintTitles" localSheetId="11" hidden="1">'KGPCo WS H-1-Detail of Tax Amts'!$1:$5</definedName>
    <definedName name="Zip">#REF!</definedName>
  </definedNames>
  <calcPr fullCalcOnLoad="1"/>
</workbook>
</file>

<file path=xl/sharedStrings.xml><?xml version="1.0" encoding="utf-8"?>
<sst xmlns="http://schemas.openxmlformats.org/spreadsheetml/2006/main" count="2150" uniqueCount="928">
  <si>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</si>
  <si>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</si>
  <si>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</si>
  <si>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</si>
  <si>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</si>
  <si>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</si>
  <si>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</si>
  <si>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</si>
  <si>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</si>
  <si>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</si>
  <si>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</si>
  <si>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</si>
  <si>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4.125% Series - $100 - Shares O/S</t>
  </si>
  <si>
    <t>N/A for Kingsport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</si>
  <si>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</si>
  <si>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</si>
  <si>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</si>
  <si>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</si>
  <si>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</si>
  <si>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</si>
  <si>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</si>
  <si>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</si>
  <si>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</si>
  <si>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</si>
  <si>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</si>
  <si>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</si>
  <si>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</si>
  <si>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</si>
  <si>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</si>
  <si>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</si>
  <si>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</si>
  <si>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</si>
  <si>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P.263.1 ln 19 (i)</t>
  </si>
  <si>
    <t>Removes plant excluded from the OATT because it does not meet the PJM's definition of Transmission Facilities or is otherwise ineligible to be recovered under the OATT.</t>
  </si>
  <si>
    <t>The company will not include the ADIT portion of deferred hedge gains and losses in rate base.</t>
  </si>
  <si>
    <t>Less: Net Value of Exempted Generation Plant</t>
  </si>
  <si>
    <t>KINGSPORT POWER COMPANY</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</si>
  <si>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</si>
  <si>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</si>
  <si>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</si>
  <si>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</si>
  <si>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</si>
  <si>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</si>
  <si>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</si>
  <si>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</si>
  <si>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</si>
  <si>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</si>
  <si>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</si>
  <si>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</si>
  <si>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</si>
  <si>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</si>
  <si>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</si>
  <si>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</si>
  <si>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</si>
  <si>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</si>
  <si>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</si>
  <si>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Production</t>
  </si>
  <si>
    <t xml:space="preserve">           Acct. 928 - Transmission Specific</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</si>
  <si>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</si>
  <si>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NOTE: The ratebase should not include the unamoritzed balance of hedging gains or losses.</t>
  </si>
  <si>
    <t>Annual Tax Expenses by Type (Note 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</si>
  <si>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</si>
  <si>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</si>
  <si>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</si>
  <si>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</si>
  <si>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</si>
  <si>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</si>
  <si>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</si>
  <si>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</si>
  <si>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</si>
  <si>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</si>
  <si>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</si>
  <si>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</si>
  <si>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</si>
  <si>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</si>
  <si>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Requirement ##</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</si>
  <si>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</si>
  <si>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</si>
  <si>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</si>
  <si>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</si>
  <si>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</si>
  <si>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</si>
  <si>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</si>
  <si>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</si>
  <si>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</si>
  <si>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</si>
  <si>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</si>
  <si>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</si>
  <si>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</si>
  <si>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</si>
  <si>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</si>
  <si>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</si>
  <si>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</si>
  <si>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</si>
  <si>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</si>
  <si>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</si>
  <si>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</si>
  <si>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</si>
  <si>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</si>
  <si>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</si>
  <si>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</si>
  <si>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</si>
  <si>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</si>
  <si>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</si>
  <si>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</si>
  <si>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</si>
  <si>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</si>
  <si>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</si>
  <si>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</si>
  <si>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</si>
  <si>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</si>
  <si>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Worksheet H-1 Form 1 Source Reference of Company Amounts on WS H</t>
  </si>
  <si>
    <t xml:space="preserve">   Return   (from B. above)</t>
  </si>
  <si>
    <t xml:space="preserve">   Income Tax Calculation  (Return  x  CIT)</t>
  </si>
  <si>
    <t>9302006</t>
  </si>
  <si>
    <t>Assoc Bus Dev - Materials Sold</t>
  </si>
  <si>
    <t>During the period ended December 31, 2011 the equity cap is in effect. During this period, a change in the cap percentage must be approved via a 205 filing with the FERC.</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</si>
  <si>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</si>
  <si>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</si>
  <si>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</si>
  <si>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</si>
  <si>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</si>
  <si>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</si>
  <si>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</si>
  <si>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</si>
  <si>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</si>
  <si>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</si>
  <si>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</si>
  <si>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</si>
  <si>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</si>
  <si>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</si>
  <si>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</si>
  <si>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</si>
  <si>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</si>
  <si>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</si>
  <si>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</si>
  <si>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</si>
  <si>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</si>
  <si>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</si>
  <si>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</si>
  <si>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</si>
  <si>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</si>
  <si>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</si>
  <si>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</si>
  <si>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</si>
  <si>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</si>
  <si>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</si>
  <si>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</si>
  <si>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</si>
  <si>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</si>
  <si>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</si>
  <si>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</si>
  <si>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</si>
  <si>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</si>
  <si>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</si>
  <si>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 xml:space="preserve">## </t>
    </r>
    <r>
      <rPr>
        <b/>
        <sz val="10"/>
        <color indexed="8"/>
        <rFont val="Arial"/>
        <family val="2"/>
      </rPr>
      <t>This is the calculation of  additional incentive revenue on projects deemed by the FERC to be eligible for an incentive return.  This</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</si>
  <si>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</si>
  <si>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</si>
  <si>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</si>
  <si>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</si>
  <si>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</si>
  <si>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</si>
  <si>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</si>
  <si>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</si>
  <si>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</si>
  <si>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</si>
  <si>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</si>
  <si>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</si>
  <si>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</si>
  <si>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</si>
  <si>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</si>
  <si>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</si>
  <si>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</si>
  <si>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</si>
  <si>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</si>
  <si>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</si>
  <si>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</si>
  <si>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</si>
  <si>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</si>
  <si>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</si>
  <si>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</si>
  <si>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</si>
  <si>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</si>
  <si>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</si>
  <si>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</si>
  <si>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</si>
  <si>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</si>
  <si>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</si>
  <si>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</si>
  <si>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</si>
  <si>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</si>
  <si>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</si>
  <si>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</si>
  <si>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</si>
  <si>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</si>
  <si>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</si>
  <si>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</si>
  <si>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</si>
  <si>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</si>
  <si>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</si>
  <si>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</si>
  <si>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</si>
  <si>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</si>
  <si>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</si>
  <si>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</si>
  <si>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</si>
  <si>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</si>
  <si>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</si>
  <si>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</si>
  <si>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</si>
  <si>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</si>
  <si>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</si>
  <si>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</si>
  <si>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</si>
  <si>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</si>
  <si>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</si>
  <si>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</si>
  <si>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</si>
  <si>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</si>
  <si>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</si>
  <si>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</si>
  <si>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</si>
  <si>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</si>
  <si>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</si>
  <si>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</si>
  <si>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</si>
  <si>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</si>
  <si>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</si>
  <si>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</si>
  <si>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</si>
  <si>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</si>
  <si>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</si>
  <si>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</si>
  <si>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</si>
  <si>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</si>
  <si>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</si>
  <si>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</si>
  <si>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</si>
  <si>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</si>
  <si>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</si>
  <si>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</si>
  <si>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</si>
  <si>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</si>
  <si>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</si>
  <si>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</si>
  <si>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</si>
  <si>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</si>
  <si>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</si>
  <si>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</si>
  <si>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</si>
  <si>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</si>
  <si>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</si>
  <si>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</si>
  <si>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</si>
  <si>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</si>
  <si>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</si>
  <si>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</si>
  <si>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</si>
  <si>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</si>
  <si>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</si>
  <si>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 xml:space="preserve">  Less: Transmission ARO (Enter Negative) </t>
  </si>
  <si>
    <t>FF1, page 219, lns 20-24, Col. (b)</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</si>
  <si>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</si>
  <si>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</si>
  <si>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</si>
  <si>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</si>
  <si>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</si>
  <si>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</si>
  <si>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</si>
  <si>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</si>
  <si>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</si>
  <si>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</si>
  <si>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</si>
  <si>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</si>
  <si>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</si>
  <si>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</si>
  <si>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</si>
  <si>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</si>
  <si>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</si>
  <si>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</si>
  <si>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</si>
  <si>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</si>
  <si>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</si>
  <si>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</si>
  <si>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</si>
  <si>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</si>
  <si>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</si>
  <si>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</si>
  <si>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</si>
  <si>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</si>
  <si>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</si>
  <si>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</si>
  <si>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</si>
  <si>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</si>
  <si>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</si>
  <si>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</si>
  <si>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</si>
  <si>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</si>
  <si>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</si>
  <si>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</si>
  <si>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</si>
  <si>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</si>
  <si>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</si>
  <si>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</si>
  <si>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</si>
  <si>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</si>
  <si>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</si>
  <si>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</si>
  <si>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</si>
  <si>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</si>
  <si>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</si>
  <si>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</si>
  <si>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</si>
  <si>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</si>
  <si>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</si>
  <si>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</si>
  <si>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</si>
  <si>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</si>
  <si>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</si>
  <si>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</si>
  <si>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</si>
  <si>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</si>
  <si>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</si>
  <si>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</si>
  <si>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</si>
  <si>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</si>
  <si>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</si>
  <si>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</si>
  <si>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</si>
  <si>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</si>
  <si>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</si>
  <si>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</si>
  <si>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</si>
  <si>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</si>
  <si>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</si>
  <si>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</si>
  <si>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</si>
  <si>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Tennessee Excise Tax Rate</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</si>
  <si>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</si>
  <si>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</si>
  <si>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</si>
  <si>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</si>
  <si>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</si>
  <si>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</si>
  <si>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</si>
  <si>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</si>
  <si>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</si>
  <si>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</si>
  <si>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</si>
  <si>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</si>
  <si>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</si>
  <si>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</si>
  <si>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</si>
  <si>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</si>
  <si>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</si>
  <si>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</si>
  <si>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</si>
  <si>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</si>
  <si>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</si>
  <si>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</si>
  <si>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</si>
  <si>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</si>
  <si>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</si>
  <si>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Prepaid Insurance - EIS</t>
  </si>
  <si>
    <t>Prepaid Lease</t>
  </si>
  <si>
    <t>Real and Personal Property - Tennessee</t>
  </si>
  <si>
    <t>TENNESSEE JURISDICTION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</si>
  <si>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</si>
  <si>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</si>
  <si>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</si>
  <si>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</si>
  <si>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</si>
  <si>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</si>
  <si>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</si>
  <si>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</si>
  <si>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</si>
  <si>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</si>
  <si>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</si>
  <si>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</si>
  <si>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</si>
  <si>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</si>
  <si>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</si>
  <si>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</si>
  <si>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</si>
  <si>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</si>
  <si>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</si>
  <si>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</si>
  <si>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r>
      <t xml:space="preserve">** </t>
    </r>
    <r>
      <rPr>
        <sz val="10"/>
        <rFont val="Arial"/>
        <family val="0"/>
      </rPr>
      <t xml:space="preserve"> This is the total amount that needs to be reported to PJM for billing to all regions. </t>
    </r>
  </si>
  <si>
    <t>additional incentive requirement is applicable for the life of this specific project.  Each year the revenue requirement calculated for PJM</t>
  </si>
  <si>
    <t>Issuance</t>
  </si>
  <si>
    <t>Interest Rate</t>
  </si>
  <si>
    <t>Annual Expense</t>
  </si>
  <si>
    <t>Less:  Load Dispatch - Scheduling, System Control and Dispatch Services (321.88.b)</t>
  </si>
  <si>
    <t>Less:  Load Dispatch - Reliability, Planning &amp; Standards Development Services (321.92.b)</t>
  </si>
  <si>
    <t>Plant Investment Balances</t>
  </si>
  <si>
    <t xml:space="preserve">   R   (from A. above)</t>
  </si>
  <si>
    <t>Actual Expense (Including AEPSC Billed OPEB)</t>
  </si>
  <si>
    <t>Amort of Debt Discount and Expenses</t>
  </si>
  <si>
    <t>Reacquired Debt:</t>
  </si>
  <si>
    <t>Amortization of Loss</t>
  </si>
  <si>
    <t>Amortization of Gain</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</si>
  <si>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</si>
  <si>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</si>
  <si>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</si>
  <si>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</si>
  <si>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</si>
  <si>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</si>
  <si>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</si>
  <si>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</si>
  <si>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</si>
  <si>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</si>
  <si>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</si>
  <si>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</si>
  <si>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</si>
  <si>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</si>
  <si>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</si>
  <si>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Installment Purchase Contracts (FF1.p. 256-257.h, a)</t>
  </si>
  <si>
    <t>Amort of Debt Premimums (Enter Negative)</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</si>
  <si>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</si>
  <si>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</si>
  <si>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</si>
  <si>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</si>
  <si>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</si>
  <si>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</si>
  <si>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</si>
  <si>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</si>
  <si>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</si>
  <si>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</si>
  <si>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</si>
  <si>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</si>
  <si>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</si>
  <si>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</si>
  <si>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</si>
  <si>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</si>
  <si>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</si>
  <si>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</si>
  <si>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</si>
  <si>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</si>
  <si>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</si>
  <si>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</si>
  <si>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</si>
  <si>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</si>
  <si>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</si>
  <si>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</si>
  <si>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</si>
  <si>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</si>
  <si>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</si>
  <si>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</si>
  <si>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</si>
  <si>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</si>
  <si>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</si>
  <si>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</si>
  <si>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</si>
  <si>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</si>
  <si>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</si>
  <si>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</si>
  <si>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</si>
  <si>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</si>
  <si>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</si>
  <si>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</si>
  <si>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</si>
  <si>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</si>
  <si>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</si>
  <si>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</si>
  <si>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</si>
  <si>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</si>
  <si>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</si>
  <si>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</si>
  <si>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</si>
  <si>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</si>
  <si>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</si>
  <si>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</si>
  <si>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</si>
  <si>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</si>
  <si>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</si>
  <si>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</si>
  <si>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</si>
  <si>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</si>
  <si>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</si>
  <si>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</si>
  <si>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</si>
  <si>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</si>
  <si>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</si>
  <si>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</si>
  <si>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</si>
  <si>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</si>
  <si>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</si>
  <si>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</si>
  <si>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</si>
  <si>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</si>
  <si>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</si>
  <si>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</si>
  <si>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</si>
  <si>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</si>
  <si>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</si>
  <si>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AR Factoring - Retail Only</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</si>
  <si>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</si>
  <si>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</si>
  <si>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</si>
  <si>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</si>
  <si>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</si>
  <si>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</si>
  <si>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</si>
  <si>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</si>
  <si>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</si>
  <si>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</si>
  <si>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</si>
  <si>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</si>
  <si>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</si>
  <si>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</si>
  <si>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Prepaid Distribution Rent Expense</t>
  </si>
  <si>
    <t>Plant Related Insurance Policies</t>
  </si>
  <si>
    <t>SFAS 112 Overfunding Asset</t>
  </si>
  <si>
    <t>Prepayment Balance Summary</t>
  </si>
  <si>
    <t>9302005</t>
  </si>
  <si>
    <t>Nucl Fac Ins - Replce Engy Cst</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</si>
  <si>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</si>
  <si>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</si>
  <si>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</si>
  <si>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</si>
  <si>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</si>
  <si>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</si>
  <si>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</si>
  <si>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</si>
  <si>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</si>
  <si>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</si>
  <si>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</si>
  <si>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</si>
  <si>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</si>
  <si>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</si>
  <si>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</si>
  <si>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</si>
  <si>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</si>
  <si>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Composite Transmission Depreciation Rate</t>
  </si>
  <si>
    <t>Reference:</t>
  </si>
  <si>
    <t>Note 1:   Rates Approved In Tennessee Regulatory Authority Case No. U-84-7308.</t>
  </si>
  <si>
    <t>General Note</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</si>
  <si>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</si>
  <si>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</si>
  <si>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</si>
  <si>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</si>
  <si>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</si>
  <si>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</si>
  <si>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</si>
  <si>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</si>
  <si>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</si>
  <si>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</si>
  <si>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</si>
  <si>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</si>
  <si>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</si>
  <si>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</si>
  <si>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</si>
  <si>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</si>
  <si>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</si>
  <si>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</si>
  <si>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</si>
  <si>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</si>
  <si>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</si>
  <si>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</si>
  <si>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</si>
  <si>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</si>
  <si>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</si>
  <si>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</si>
  <si>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</si>
  <si>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</si>
  <si>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</si>
  <si>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</si>
  <si>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</si>
  <si>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</si>
  <si>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</si>
  <si>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</si>
  <si>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</si>
  <si>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</si>
  <si>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</si>
  <si>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</si>
  <si>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</si>
  <si>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</si>
  <si>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</si>
  <si>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</si>
  <si>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</si>
  <si>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</si>
  <si>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</si>
  <si>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</si>
  <si>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</si>
  <si>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</si>
  <si>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</si>
  <si>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</si>
  <si>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</si>
  <si>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</si>
  <si>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</si>
  <si>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</si>
  <si>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</si>
  <si>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</si>
  <si>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</si>
  <si>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</si>
  <si>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</si>
  <si>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</si>
  <si>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</si>
  <si>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</si>
  <si>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</si>
  <si>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</si>
  <si>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</si>
  <si>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</si>
  <si>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354.21.b</t>
  </si>
  <si>
    <t>(FF1 p 112, Ln 12.c)</t>
  </si>
  <si>
    <t>(FF1 p 112, Ln 12 .c)</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</si>
  <si>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</si>
  <si>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</si>
  <si>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</si>
  <si>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</si>
  <si>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</si>
  <si>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</si>
  <si>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</si>
  <si>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</si>
  <si>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</si>
  <si>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</si>
  <si>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</si>
  <si>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</si>
  <si>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</si>
  <si>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</si>
  <si>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</si>
  <si>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</si>
  <si>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</si>
  <si>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</si>
  <si>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</si>
  <si>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</si>
  <si>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</si>
  <si>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</si>
  <si>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</si>
  <si>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</si>
  <si>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</si>
  <si>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</si>
  <si>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</si>
  <si>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</si>
  <si>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</si>
  <si>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</si>
  <si>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</si>
  <si>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</si>
  <si>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</si>
  <si>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</si>
  <si>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</si>
  <si>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Removes transmission plant (e.g. step-up transformers) included in the development of OATT ancillary service rates and not already removed for reasons indicated in Note P.</t>
  </si>
  <si>
    <t xml:space="preserve">     Less: Account 565</t>
  </si>
  <si>
    <t>ACCUMULATED DEPRECIATION AND AMORTIZATION</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</si>
  <si>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</si>
  <si>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</si>
  <si>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</si>
  <si>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</si>
  <si>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</si>
  <si>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</si>
  <si>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</si>
  <si>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</si>
  <si>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</si>
  <si>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</si>
  <si>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</si>
  <si>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</si>
  <si>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</si>
  <si>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</si>
  <si>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</si>
  <si>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</si>
  <si>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</si>
  <si>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</si>
  <si>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</si>
  <si>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</si>
  <si>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</si>
  <si>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</si>
  <si>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</si>
  <si>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</si>
  <si>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</si>
  <si>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</si>
  <si>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</si>
  <si>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</si>
  <si>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</si>
  <si>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</si>
  <si>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</si>
  <si>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</si>
  <si>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</si>
  <si>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</si>
  <si>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</si>
  <si>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</si>
  <si>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</si>
  <si>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</si>
  <si>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</si>
  <si>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</si>
  <si>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</si>
  <si>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</si>
  <si>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</si>
  <si>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</si>
  <si>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</si>
  <si>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</si>
  <si>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</si>
  <si>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</si>
  <si>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</si>
  <si>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</si>
  <si>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</si>
  <si>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</si>
  <si>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</si>
  <si>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</si>
  <si>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</si>
  <si>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</si>
  <si>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</si>
  <si>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</si>
  <si>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</si>
  <si>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</si>
  <si>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</si>
  <si>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</si>
  <si>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</si>
  <si>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</si>
  <si>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</si>
  <si>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</si>
  <si>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</si>
  <si>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</si>
  <si>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</si>
  <si>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</si>
  <si>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</si>
  <si>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</si>
  <si>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</si>
  <si>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</si>
  <si>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</si>
  <si>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</si>
  <si>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</si>
  <si>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</si>
  <si>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</si>
  <si>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</si>
  <si>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</si>
  <si>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</si>
  <si>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</si>
  <si>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</si>
  <si>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</si>
  <si>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</si>
  <si>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</si>
  <si>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</si>
  <si>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</si>
  <si>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</si>
  <si>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</si>
  <si>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</si>
  <si>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</si>
  <si>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</si>
  <si>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</si>
  <si>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</si>
  <si>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</si>
  <si>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</si>
  <si>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</si>
  <si>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</si>
  <si>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</si>
  <si>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</si>
  <si>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</si>
  <si>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</si>
  <si>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</si>
  <si>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</si>
  <si>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</si>
  <si>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</si>
  <si>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</si>
  <si>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</si>
  <si>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</si>
  <si>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</si>
  <si>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</si>
  <si>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</si>
  <si>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</si>
  <si>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</si>
  <si>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</si>
  <si>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</si>
  <si>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</si>
  <si>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</si>
  <si>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</si>
  <si>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</si>
  <si>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</si>
  <si>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</si>
  <si>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</si>
  <si>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</si>
  <si>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</si>
  <si>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</si>
  <si>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</si>
  <si>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</si>
  <si>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</si>
  <si>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</si>
  <si>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</si>
  <si>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</si>
  <si>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</si>
  <si>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</si>
  <si>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</si>
  <si>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</si>
  <si>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</si>
  <si>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</si>
  <si>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</si>
  <si>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</si>
  <si>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</si>
  <si>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</si>
  <si>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</si>
  <si>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</si>
  <si>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</si>
  <si>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</si>
  <si>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</si>
  <si>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</si>
  <si>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</si>
  <si>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</si>
  <si>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</si>
  <si>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</si>
  <si>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</si>
  <si>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</si>
  <si>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</si>
  <si>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</si>
  <si>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</si>
  <si>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</si>
  <si>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</si>
  <si>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</si>
  <si>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</si>
  <si>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</si>
  <si>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</si>
  <si>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</si>
  <si>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</si>
  <si>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</si>
  <si>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</si>
  <si>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</si>
  <si>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</si>
  <si>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</si>
  <si>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</si>
  <si>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</si>
  <si>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</si>
  <si>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</si>
  <si>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</si>
  <si>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</si>
  <si>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</si>
  <si>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</si>
  <si>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</si>
  <si>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</si>
  <si>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</si>
  <si>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</si>
  <si>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</si>
  <si>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</si>
  <si>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</si>
  <si>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</si>
  <si>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Gross Receipts Tax </t>
  </si>
  <si>
    <t>P.263 ln 34 (i)</t>
  </si>
  <si>
    <t>P.263 ln 35 (i)</t>
  </si>
  <si>
    <t>P.263 ln 20 (i)</t>
  </si>
  <si>
    <t>P.263 ln 5 (i)</t>
  </si>
  <si>
    <t>P.263 ln 6 (i)</t>
  </si>
  <si>
    <t>P.263 ln 31 (i)</t>
  </si>
  <si>
    <t>P.263.1 ln 3 (i)</t>
  </si>
  <si>
    <t>P.263 ln 28 (i)</t>
  </si>
  <si>
    <t>P.263.1 ln 13 (i)</t>
  </si>
  <si>
    <t>P.263 ln 14 (i)</t>
  </si>
  <si>
    <t>P.263 ln 15 (i)</t>
  </si>
  <si>
    <t xml:space="preserve">NOTE 1: The detail of each total company number and its source in the FERC Form 1 is shown on WS H-1. </t>
  </si>
  <si>
    <t>FERC</t>
  </si>
  <si>
    <t>No Applicable Charges for KGPCO</t>
  </si>
  <si>
    <t>(See Note S on Projected Template)</t>
  </si>
  <si>
    <t>Auction Fees</t>
  </si>
  <si>
    <t>FF1.p. 256 &amp; 257.Lines Described as Fees</t>
  </si>
  <si>
    <t>9301011</t>
  </si>
  <si>
    <t>Dedications, Tours, &amp; Openings</t>
  </si>
  <si>
    <t>9301013</t>
  </si>
  <si>
    <t>Movies Slide Films &amp; Speeches</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</si>
  <si>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</si>
  <si>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</si>
  <si>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</si>
  <si>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</si>
  <si>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</si>
  <si>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</si>
  <si>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</si>
  <si>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</si>
  <si>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</si>
  <si>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</si>
  <si>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</si>
  <si>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</si>
  <si>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</si>
  <si>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</si>
  <si>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Subtotal - Form 1, p 111.57.d</t>
  </si>
  <si>
    <t>P.263 ln 19 (i)</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</si>
  <si>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</si>
  <si>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</si>
  <si>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</si>
  <si>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</si>
  <si>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</si>
  <si>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</si>
  <si>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</si>
  <si>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</si>
  <si>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</si>
  <si>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</si>
  <si>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</si>
  <si>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</si>
  <si>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</si>
  <si>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P.263 ln 29 (i)</t>
  </si>
  <si>
    <t>P.263.1 ln 20 (i)</t>
  </si>
  <si>
    <t>Total Effective State Income Tax Rate</t>
  </si>
  <si>
    <t>Cash Working Capital</t>
  </si>
  <si>
    <t>PLANT HELD FOR FUTURE USE</t>
  </si>
  <si>
    <t>9302000</t>
  </si>
  <si>
    <t>Misc General Expenses</t>
  </si>
  <si>
    <t>9302003</t>
  </si>
  <si>
    <t>Corporate &amp; Fiscal Expenses</t>
  </si>
  <si>
    <t>9302004</t>
  </si>
  <si>
    <t>SFAS 158 Offset</t>
  </si>
  <si>
    <t>KgPCo Worksheet J -  ATRR PROJECTED Calculation for PJM Projects Charged to Benefiting Zones</t>
  </si>
  <si>
    <r>
      <t xml:space="preserve">KgPCo Worksheet </t>
    </r>
    <r>
      <rPr>
        <b/>
        <sz val="16"/>
        <color indexed="10"/>
        <rFont val="Arial"/>
        <family val="2"/>
      </rPr>
      <t>K</t>
    </r>
    <r>
      <rPr>
        <b/>
        <sz val="16"/>
        <rFont val="Arial"/>
        <family val="2"/>
      </rPr>
      <t xml:space="preserve"> -  ATRR </t>
    </r>
    <r>
      <rPr>
        <b/>
        <sz val="16"/>
        <color indexed="10"/>
        <rFont val="Arial"/>
        <family val="2"/>
      </rPr>
      <t>TRUE-UP</t>
    </r>
    <r>
      <rPr>
        <b/>
        <sz val="16"/>
        <rFont val="Arial"/>
        <family val="2"/>
      </rPr>
      <t xml:space="preserve"> Calculation for PJM Projects Charged to Benefiting Zones</t>
    </r>
  </si>
  <si>
    <t>Allowable Expense</t>
  </si>
  <si>
    <t>Actual Expense</t>
  </si>
  <si>
    <t>PBOP Worksheet O Line 9 &amp; 10, (Note K)</t>
  </si>
  <si>
    <t>PBOP Worksheet O  Line 11, (Note K)</t>
  </si>
  <si>
    <t>PBOP Worksheet O Line 13, (Note K)</t>
  </si>
  <si>
    <t>PBOP Worksheet O, Col. C, Line 5, (Note M)</t>
  </si>
  <si>
    <t>Total AEP East Operating Company PBOP Settlement Amount</t>
  </si>
  <si>
    <t>1650021</t>
  </si>
  <si>
    <t>1650023</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</si>
  <si>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</si>
  <si>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</si>
  <si>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</si>
  <si>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</si>
  <si>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</si>
  <si>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</si>
  <si>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</si>
  <si>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</si>
  <si>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CUMULATIVE HISTORY OF TRUED-UP ANNUAL REVENUE REQUIREMENTS:</t>
  </si>
  <si>
    <t>Note 2:  Kingsport Power Company does not have investment in plant accounts 357 or 358.  Therefore, there are no depreciation rates approved for these plant accounts.</t>
  </si>
  <si>
    <t>(B)=(A)/Total (A)</t>
  </si>
  <si>
    <t>(E)=(A) * (D)</t>
  </si>
  <si>
    <t>(F)=(C) * (D)</t>
  </si>
  <si>
    <t>(G)=(E) - (F)</t>
  </si>
  <si>
    <t>APCo</t>
  </si>
  <si>
    <t>KPCo</t>
  </si>
  <si>
    <t>KNGP</t>
  </si>
  <si>
    <t>OPCo</t>
  </si>
  <si>
    <t>WPCo</t>
  </si>
  <si>
    <t>KNGSPT</t>
  </si>
  <si>
    <t>AEP East Total</t>
  </si>
  <si>
    <t>Additional PBOP Ledger Entries (from Company Records)</t>
  </si>
  <si>
    <t>Medicare Subsidy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</si>
</sst>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0.000"/>
    <numFmt numFmtId="198" formatCode="0.0"/>
  </numFmts>
  <fonts count="119">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6"/>
      <color indexed="10"/>
      <name val="Arial"/>
      <family val="2"/>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b/>
      <sz val="14"/>
      <color indexed="10"/>
      <name val="Arial"/>
      <family val="2"/>
    </font>
    <font>
      <sz val="10"/>
      <name val="Arial MT"/>
      <family val="0"/>
    </font>
    <font>
      <u val="single"/>
      <sz val="11"/>
      <name val="Arial"/>
      <family val="2"/>
    </font>
    <font>
      <b/>
      <sz val="12"/>
      <name val="Arial Black"/>
      <family val="2"/>
    </font>
    <font>
      <sz val="10"/>
      <color indexed="12"/>
      <name val="Courier"/>
      <family val="3"/>
    </font>
    <font>
      <i/>
      <sz val="12"/>
      <name val="Arial Condensed Bold"/>
      <family val="0"/>
    </font>
    <font>
      <b/>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i/>
      <sz val="12"/>
      <color indexed="10"/>
      <name val="Arial"/>
      <family val="2"/>
    </font>
    <font>
      <strike/>
      <sz val="10"/>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05">
    <xf numFmtId="0" fontId="0" fillId="0" borderId="0" xfId="0" applyAlignment="1">
      <alignment/>
    </xf>
    <xf numFmtId="172" fontId="1" fillId="0" borderId="0" xfId="119" applyFont="1" applyAlignment="1">
      <alignment/>
    </xf>
    <xf numFmtId="49" fontId="3" fillId="0" borderId="0" xfId="119" applyNumberFormat="1" applyFont="1" applyAlignment="1">
      <alignment horizontal="center"/>
    </xf>
    <xf numFmtId="3" fontId="3" fillId="0" borderId="0" xfId="119" applyNumberFormat="1" applyFont="1" applyAlignment="1">
      <alignment/>
    </xf>
    <xf numFmtId="0" fontId="4" fillId="0" borderId="0" xfId="119" applyNumberFormat="1" applyFont="1" applyAlignment="1">
      <alignment horizontal="center"/>
    </xf>
    <xf numFmtId="0" fontId="1" fillId="0" borderId="0" xfId="119" applyNumberFormat="1" applyFont="1" applyFill="1">
      <alignment/>
    </xf>
    <xf numFmtId="0" fontId="0" fillId="0" borderId="0" xfId="0" applyAlignment="1">
      <alignment horizontal="center"/>
    </xf>
    <xf numFmtId="0" fontId="3" fillId="0" borderId="0" xfId="0" applyFont="1" applyAlignment="1">
      <alignment/>
    </xf>
    <xf numFmtId="3" fontId="3" fillId="0" borderId="0" xfId="119" applyNumberFormat="1" applyFont="1" applyFill="1" applyAlignment="1">
      <alignment/>
    </xf>
    <xf numFmtId="172" fontId="1" fillId="0" borderId="0" xfId="119"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9" applyFont="1" applyAlignment="1" applyProtection="1">
      <alignment/>
      <protection locked="0"/>
    </xf>
    <xf numFmtId="172" fontId="4" fillId="0" borderId="0" xfId="119"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0" fontId="3" fillId="0" borderId="0" xfId="119" applyNumberFormat="1" applyFont="1" applyAlignment="1" applyProtection="1">
      <alignment/>
      <protection locked="0"/>
    </xf>
    <xf numFmtId="0" fontId="3" fillId="0" borderId="0" xfId="119" applyNumberFormat="1" applyFont="1" applyProtection="1">
      <alignment/>
      <protection locked="0"/>
    </xf>
    <xf numFmtId="3" fontId="3" fillId="0" borderId="0" xfId="119" applyNumberFormat="1" applyFont="1" applyAlignment="1" applyProtection="1">
      <alignment/>
      <protection locked="0"/>
    </xf>
    <xf numFmtId="0" fontId="3" fillId="0" borderId="0" xfId="119" applyNumberFormat="1" applyFont="1" applyAlignment="1" applyProtection="1">
      <alignment horizontal="center"/>
      <protection locked="0"/>
    </xf>
    <xf numFmtId="49" fontId="3" fillId="0" borderId="0" xfId="119" applyNumberFormat="1" applyFont="1" applyAlignment="1" applyProtection="1">
      <alignment horizontal="center"/>
      <protection locked="0"/>
    </xf>
    <xf numFmtId="49" fontId="3" fillId="0" borderId="0" xfId="119" applyNumberFormat="1" applyFont="1" applyProtection="1">
      <alignment/>
      <protection locked="0"/>
    </xf>
    <xf numFmtId="172" fontId="3" fillId="0" borderId="0" xfId="119" applyFont="1" applyAlignment="1" applyProtection="1">
      <alignment horizontal="center"/>
      <protection locked="0"/>
    </xf>
    <xf numFmtId="0" fontId="3" fillId="0" borderId="6" xfId="119" applyNumberFormat="1" applyFont="1" applyBorder="1" applyAlignment="1" applyProtection="1">
      <alignment horizontal="center"/>
      <protection locked="0"/>
    </xf>
    <xf numFmtId="0" fontId="3" fillId="0" borderId="0" xfId="119" applyNumberFormat="1" applyFont="1" applyBorder="1" applyAlignment="1" applyProtection="1">
      <alignment horizontal="center"/>
      <protection locked="0"/>
    </xf>
    <xf numFmtId="0" fontId="3" fillId="0" borderId="0" xfId="119" applyNumberFormat="1" applyFont="1" applyFill="1" applyProtection="1">
      <alignment/>
      <protection locked="0"/>
    </xf>
    <xf numFmtId="3" fontId="3" fillId="0" borderId="0" xfId="119" applyNumberFormat="1" applyFont="1" applyProtection="1">
      <alignment/>
      <protection locked="0"/>
    </xf>
    <xf numFmtId="0" fontId="3" fillId="0" borderId="0" xfId="119" applyNumberFormat="1" applyFont="1" applyAlignment="1" applyProtection="1">
      <alignment horizontal="left"/>
      <protection locked="0"/>
    </xf>
    <xf numFmtId="3" fontId="3" fillId="0" borderId="0" xfId="119" applyNumberFormat="1" applyFont="1" applyFill="1" applyAlignment="1" applyProtection="1">
      <alignment/>
      <protection locked="0"/>
    </xf>
    <xf numFmtId="0" fontId="3" fillId="0" borderId="6" xfId="119" applyNumberFormat="1" applyFont="1" applyBorder="1" applyAlignment="1" applyProtection="1">
      <alignment horizontal="centerContinuous"/>
      <protection locked="0"/>
    </xf>
    <xf numFmtId="166" fontId="3" fillId="0" borderId="0" xfId="119" applyNumberFormat="1" applyFont="1" applyAlignment="1" applyProtection="1">
      <alignment/>
      <protection locked="0"/>
    </xf>
    <xf numFmtId="3" fontId="3" fillId="0" borderId="0" xfId="119" applyNumberFormat="1" applyFont="1" applyAlignment="1" applyProtection="1">
      <alignment horizontal="center"/>
      <protection locked="0"/>
    </xf>
    <xf numFmtId="0" fontId="3" fillId="0" borderId="0" xfId="119" applyNumberFormat="1" applyFont="1" applyAlignment="1">
      <alignment/>
    </xf>
    <xf numFmtId="49" fontId="3" fillId="0" borderId="0" xfId="119" applyNumberFormat="1" applyFont="1" applyAlignment="1" applyProtection="1">
      <alignment horizontal="left"/>
      <protection locked="0"/>
    </xf>
    <xf numFmtId="3" fontId="4" fillId="0" borderId="0" xfId="119" applyNumberFormat="1" applyFont="1" applyAlignment="1" applyProtection="1">
      <alignment horizontal="center"/>
      <protection locked="0"/>
    </xf>
    <xf numFmtId="49" fontId="4" fillId="0" borderId="0" xfId="119" applyNumberFormat="1" applyFont="1" applyAlignment="1" applyProtection="1">
      <alignment horizontal="center"/>
      <protection locked="0"/>
    </xf>
    <xf numFmtId="172" fontId="4" fillId="0" borderId="0" xfId="119" applyFont="1" applyAlignment="1" applyProtection="1">
      <alignment horizontal="center"/>
      <protection locked="0"/>
    </xf>
    <xf numFmtId="0" fontId="4" fillId="0" borderId="0" xfId="119" applyNumberFormat="1" applyFont="1" applyAlignment="1" applyProtection="1">
      <alignment horizontal="center"/>
      <protection locked="0"/>
    </xf>
    <xf numFmtId="3" fontId="4" fillId="0" borderId="0" xfId="119" applyNumberFormat="1" applyFont="1" applyAlignment="1" applyProtection="1">
      <alignment/>
      <protection locked="0"/>
    </xf>
    <xf numFmtId="0" fontId="4" fillId="0" borderId="0" xfId="119" applyNumberFormat="1" applyFont="1" applyAlignment="1" applyProtection="1">
      <alignment/>
      <protection locked="0"/>
    </xf>
    <xf numFmtId="3" fontId="3" fillId="0" borderId="0" xfId="119" applyNumberFormat="1" applyFont="1" applyFill="1" applyBorder="1" applyAlignment="1" applyProtection="1">
      <alignment horizontal="center"/>
      <protection locked="0"/>
    </xf>
    <xf numFmtId="0" fontId="3" fillId="0" borderId="0" xfId="119" applyNumberFormat="1" applyFont="1" applyBorder="1" applyAlignment="1" applyProtection="1">
      <alignment/>
      <protection locked="0"/>
    </xf>
    <xf numFmtId="165" fontId="3" fillId="0" borderId="0" xfId="119" applyNumberFormat="1" applyFont="1" applyAlignment="1" applyProtection="1">
      <alignment/>
      <protection locked="0"/>
    </xf>
    <xf numFmtId="0" fontId="3" fillId="0" borderId="0" xfId="119" applyNumberFormat="1" applyFont="1" applyAlignment="1" applyProtection="1">
      <alignment horizontal="center" vertical="center"/>
      <protection locked="0"/>
    </xf>
    <xf numFmtId="0" fontId="3" fillId="0" borderId="0" xfId="119" applyNumberFormat="1" applyFont="1" applyBorder="1" applyAlignment="1" applyProtection="1">
      <alignment vertical="center"/>
      <protection locked="0"/>
    </xf>
    <xf numFmtId="3" fontId="3" fillId="0" borderId="0" xfId="119" applyNumberFormat="1" applyFont="1" applyFill="1" applyAlignment="1" applyProtection="1">
      <alignment vertical="center" wrapText="1"/>
      <protection locked="0"/>
    </xf>
    <xf numFmtId="3" fontId="3" fillId="0" borderId="0" xfId="119" applyNumberFormat="1" applyFont="1" applyAlignment="1" applyProtection="1">
      <alignment vertical="center"/>
      <protection locked="0"/>
    </xf>
    <xf numFmtId="164" fontId="3" fillId="0" borderId="0" xfId="119" applyNumberFormat="1" applyFont="1" applyAlignment="1" applyProtection="1">
      <alignment horizontal="center"/>
      <protection locked="0"/>
    </xf>
    <xf numFmtId="3" fontId="3" fillId="0" borderId="0" xfId="119" applyNumberFormat="1" applyFont="1" applyFill="1" applyAlignment="1" applyProtection="1">
      <alignment horizontal="center"/>
      <protection locked="0"/>
    </xf>
    <xf numFmtId="165" fontId="3" fillId="0" borderId="0" xfId="119" applyNumberFormat="1" applyFont="1" applyFill="1" applyAlignment="1" applyProtection="1">
      <alignment horizontal="right"/>
      <protection locked="0"/>
    </xf>
    <xf numFmtId="172" fontId="3" fillId="0" borderId="0" xfId="119" applyFont="1" applyBorder="1" applyAlignment="1" applyProtection="1">
      <alignment/>
      <protection locked="0"/>
    </xf>
    <xf numFmtId="164" fontId="3" fillId="0" borderId="0" xfId="119" applyNumberFormat="1" applyFont="1" applyFill="1" applyAlignment="1" applyProtection="1">
      <alignment horizontal="left"/>
      <protection locked="0"/>
    </xf>
    <xf numFmtId="175" fontId="3" fillId="0" borderId="0" xfId="119" applyNumberFormat="1" applyFont="1" applyAlignment="1">
      <alignment/>
    </xf>
    <xf numFmtId="172" fontId="4" fillId="0" borderId="0" xfId="119" applyFont="1" applyAlignment="1">
      <alignment/>
    </xf>
    <xf numFmtId="0" fontId="10" fillId="0" borderId="0" xfId="119" applyNumberFormat="1" applyFont="1" applyAlignment="1" applyProtection="1">
      <alignment horizontal="center"/>
      <protection locked="0"/>
    </xf>
    <xf numFmtId="3" fontId="10" fillId="0" borderId="0" xfId="119" applyNumberFormat="1" applyFont="1" applyAlignment="1" applyProtection="1">
      <alignment/>
      <protection locked="0"/>
    </xf>
    <xf numFmtId="0" fontId="3" fillId="0" borderId="0" xfId="119" applyNumberFormat="1" applyFont="1" applyFill="1" applyAlignment="1" applyProtection="1">
      <alignment/>
      <protection locked="0"/>
    </xf>
    <xf numFmtId="3" fontId="3" fillId="0" borderId="0" xfId="119" applyNumberFormat="1" applyFont="1" applyAlignment="1" applyProtection="1">
      <alignment vertical="center" wrapText="1"/>
      <protection locked="0"/>
    </xf>
    <xf numFmtId="172" fontId="3" fillId="0" borderId="0" xfId="119" applyFont="1" applyFill="1" applyAlignment="1">
      <alignment/>
    </xf>
    <xf numFmtId="164" fontId="3" fillId="0" borderId="0" xfId="119" applyNumberFormat="1" applyFont="1" applyBorder="1" applyAlignment="1" applyProtection="1">
      <alignment horizontal="left"/>
      <protection locked="0"/>
    </xf>
    <xf numFmtId="0" fontId="3" fillId="0" borderId="0" xfId="119" applyNumberFormat="1" applyFont="1" applyFill="1" applyBorder="1" applyAlignment="1" applyProtection="1">
      <alignment/>
      <protection locked="0"/>
    </xf>
    <xf numFmtId="164" fontId="3" fillId="0" borderId="0" xfId="119" applyNumberFormat="1" applyFont="1" applyFill="1" applyBorder="1" applyAlignment="1" applyProtection="1">
      <alignment horizontal="left"/>
      <protection locked="0"/>
    </xf>
    <xf numFmtId="10" fontId="3" fillId="0" borderId="0" xfId="119" applyNumberFormat="1" applyFont="1" applyFill="1" applyAlignment="1" applyProtection="1">
      <alignment horizontal="left"/>
      <protection locked="0"/>
    </xf>
    <xf numFmtId="167" fontId="3" fillId="0" borderId="0" xfId="119" applyNumberFormat="1" applyFont="1" applyAlignment="1" applyProtection="1">
      <alignment/>
      <protection locked="0"/>
    </xf>
    <xf numFmtId="3" fontId="3" fillId="0" borderId="0" xfId="119" applyNumberFormat="1" applyFont="1" applyAlignment="1" applyProtection="1">
      <alignment horizontal="right"/>
      <protection locked="0"/>
    </xf>
    <xf numFmtId="0" fontId="4" fillId="0" borderId="0" xfId="119" applyNumberFormat="1" applyFont="1" applyBorder="1" applyAlignment="1" applyProtection="1">
      <alignment horizontal="left"/>
      <protection locked="0"/>
    </xf>
    <xf numFmtId="14" fontId="4" fillId="0" borderId="0" xfId="119" applyNumberFormat="1" applyFont="1" applyBorder="1" applyAlignment="1" applyProtection="1">
      <alignment/>
      <protection locked="0"/>
    </xf>
    <xf numFmtId="172" fontId="3" fillId="0" borderId="0" xfId="119" applyNumberFormat="1" applyFont="1" applyAlignment="1" applyProtection="1">
      <alignment/>
      <protection locked="0"/>
    </xf>
    <xf numFmtId="170" fontId="3" fillId="0" borderId="0" xfId="119" applyNumberFormat="1" applyFont="1" applyProtection="1">
      <alignment/>
      <protection locked="0"/>
    </xf>
    <xf numFmtId="0" fontId="4" fillId="0" borderId="0" xfId="119" applyNumberFormat="1" applyFont="1" applyFill="1" applyAlignment="1" applyProtection="1">
      <alignment/>
      <protection locked="0"/>
    </xf>
    <xf numFmtId="0" fontId="3" fillId="0" borderId="0" xfId="119" applyNumberFormat="1" applyFont="1" applyFill="1" applyBorder="1" applyProtection="1">
      <alignment/>
      <protection locked="0"/>
    </xf>
    <xf numFmtId="3" fontId="3" fillId="0" borderId="0" xfId="119" applyNumberFormat="1" applyFont="1" applyFill="1" applyBorder="1" applyAlignment="1" applyProtection="1">
      <alignment/>
      <protection locked="0"/>
    </xf>
    <xf numFmtId="172" fontId="3" fillId="0" borderId="0" xfId="119" applyFont="1" applyFill="1" applyBorder="1" applyAlignment="1" applyProtection="1">
      <alignment/>
      <protection locked="0"/>
    </xf>
    <xf numFmtId="172" fontId="3" fillId="0" borderId="0" xfId="119" applyFont="1" applyFill="1" applyBorder="1" applyAlignment="1" applyProtection="1">
      <alignment horizontal="center"/>
      <protection locked="0"/>
    </xf>
    <xf numFmtId="49" fontId="3" fillId="0" borderId="0" xfId="119" applyNumberFormat="1" applyFont="1" applyFill="1" applyBorder="1" applyProtection="1">
      <alignment/>
      <protection locked="0"/>
    </xf>
    <xf numFmtId="0" fontId="3" fillId="0" borderId="0" xfId="119" applyNumberFormat="1" applyFont="1" applyFill="1" applyBorder="1" applyAlignment="1" applyProtection="1">
      <alignment horizontal="center"/>
      <protection locked="0"/>
    </xf>
    <xf numFmtId="49" fontId="3" fillId="0" borderId="0" xfId="119" applyNumberFormat="1" applyFont="1" applyFill="1" applyBorder="1" applyAlignment="1" applyProtection="1">
      <alignment/>
      <protection locked="0"/>
    </xf>
    <xf numFmtId="49" fontId="3" fillId="0" borderId="0" xfId="119" applyNumberFormat="1" applyFont="1" applyFill="1" applyBorder="1" applyAlignment="1" applyProtection="1">
      <alignment horizontal="center"/>
      <protection locked="0"/>
    </xf>
    <xf numFmtId="3" fontId="4" fillId="0" borderId="0" xfId="119" applyNumberFormat="1" applyFont="1" applyFill="1" applyBorder="1" applyAlignment="1" applyProtection="1">
      <alignment/>
      <protection locked="0"/>
    </xf>
    <xf numFmtId="165" fontId="4" fillId="0" borderId="0" xfId="119" applyNumberFormat="1" applyFont="1" applyFill="1" applyBorder="1" applyAlignment="1" applyProtection="1">
      <alignment horizontal="right"/>
      <protection locked="0"/>
    </xf>
    <xf numFmtId="0" fontId="3" fillId="0" borderId="0" xfId="119" applyNumberFormat="1" applyFont="1" applyFill="1" applyAlignment="1" applyProtection="1">
      <alignment horizontal="center"/>
      <protection locked="0"/>
    </xf>
    <xf numFmtId="166" fontId="4" fillId="0" borderId="0" xfId="119" applyNumberFormat="1" applyFont="1" applyFill="1" applyProtection="1">
      <alignment/>
      <protection locked="0"/>
    </xf>
    <xf numFmtId="4" fontId="3" fillId="0" borderId="0" xfId="119" applyNumberFormat="1" applyFont="1" applyAlignment="1" applyProtection="1">
      <alignment/>
      <protection locked="0"/>
    </xf>
    <xf numFmtId="3" fontId="3" fillId="0" borderId="0" xfId="119" applyNumberFormat="1" applyFont="1" applyAlignment="1" applyProtection="1" quotePrefix="1">
      <alignment/>
      <protection locked="0"/>
    </xf>
    <xf numFmtId="3" fontId="4" fillId="0" borderId="0" xfId="119" applyNumberFormat="1" applyFont="1" applyAlignment="1" applyProtection="1" quotePrefix="1">
      <alignment/>
      <protection locked="0"/>
    </xf>
    <xf numFmtId="172" fontId="3" fillId="0" borderId="0" xfId="119" applyFont="1" applyFill="1" applyAlignment="1" applyProtection="1">
      <alignment horizontal="center"/>
      <protection locked="0"/>
    </xf>
    <xf numFmtId="0" fontId="3" fillId="0" borderId="0" xfId="119"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9" applyNumberFormat="1" applyFont="1" applyFill="1" applyProtection="1">
      <alignment/>
      <protection locked="0"/>
    </xf>
    <xf numFmtId="172" fontId="1" fillId="0" borderId="0" xfId="119" applyFont="1" applyAlignment="1" applyProtection="1">
      <alignment/>
      <protection locked="0"/>
    </xf>
    <xf numFmtId="0" fontId="1" fillId="0" borderId="0" xfId="119" applyNumberFormat="1" applyFont="1" applyAlignment="1" applyProtection="1">
      <alignment horizontal="center"/>
      <protection locked="0"/>
    </xf>
    <xf numFmtId="0" fontId="1" fillId="0" borderId="6" xfId="119" applyNumberFormat="1" applyFont="1" applyBorder="1" applyAlignment="1" applyProtection="1">
      <alignment horizontal="center"/>
      <protection locked="0"/>
    </xf>
    <xf numFmtId="0" fontId="1" fillId="0" borderId="0" xfId="119" applyNumberFormat="1" applyFont="1" applyAlignment="1" applyProtection="1">
      <alignment horizontal="center" vertical="center"/>
      <protection locked="0"/>
    </xf>
    <xf numFmtId="0" fontId="1" fillId="0" borderId="0" xfId="0" applyFont="1" applyAlignment="1">
      <alignment/>
    </xf>
    <xf numFmtId="0" fontId="1" fillId="0" borderId="0" xfId="119" applyNumberFormat="1" applyFont="1" applyFill="1" applyAlignment="1" applyProtection="1">
      <alignment horizontal="center"/>
      <protection locked="0"/>
    </xf>
    <xf numFmtId="0" fontId="1" fillId="0" borderId="0" xfId="119" applyNumberFormat="1" applyFont="1" applyBorder="1" applyAlignment="1" applyProtection="1">
      <alignment horizontal="center"/>
      <protection locked="0"/>
    </xf>
    <xf numFmtId="172" fontId="1" fillId="0" borderId="0" xfId="119" applyFont="1" applyFill="1" applyAlignment="1" applyProtection="1">
      <alignment horizontal="center"/>
      <protection locked="0"/>
    </xf>
    <xf numFmtId="172" fontId="1" fillId="0" borderId="0" xfId="119" applyFont="1" applyFill="1" applyAlignment="1" applyProtection="1">
      <alignment/>
      <protection locked="0"/>
    </xf>
    <xf numFmtId="0" fontId="3" fillId="0" borderId="0" xfId="119"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9" applyNumberFormat="1" applyFont="1" applyAlignment="1" applyProtection="1">
      <alignment horizontal="left"/>
      <protection locked="0"/>
    </xf>
    <xf numFmtId="42" fontId="3" fillId="0" borderId="0" xfId="119" applyNumberFormat="1" applyFont="1" applyAlignment="1" applyProtection="1">
      <alignment/>
      <protection locked="0"/>
    </xf>
    <xf numFmtId="41" fontId="3" fillId="0" borderId="0" xfId="119" applyNumberFormat="1" applyFont="1" applyAlignment="1" applyProtection="1">
      <alignment/>
      <protection locked="0"/>
    </xf>
    <xf numFmtId="41" fontId="3" fillId="0" borderId="6" xfId="119" applyNumberFormat="1" applyFont="1" applyBorder="1" applyAlignment="1" applyProtection="1">
      <alignment/>
      <protection locked="0"/>
    </xf>
    <xf numFmtId="178" fontId="4" fillId="0" borderId="0" xfId="119" applyNumberFormat="1" applyFont="1" applyFill="1" applyAlignment="1" applyProtection="1">
      <alignment horizontal="right"/>
      <protection locked="0"/>
    </xf>
    <xf numFmtId="0" fontId="9" fillId="0" borderId="0" xfId="115" applyFont="1" applyFill="1" applyAlignment="1">
      <alignment horizontal="center"/>
      <protection/>
    </xf>
    <xf numFmtId="0" fontId="14" fillId="0" borderId="0" xfId="115" applyFont="1" applyFill="1">
      <alignment/>
      <protection/>
    </xf>
    <xf numFmtId="9" fontId="9" fillId="0" borderId="0" xfId="115" applyNumberFormat="1" applyFont="1" applyFill="1" applyAlignment="1" quotePrefix="1">
      <alignment horizontal="center"/>
      <protection/>
    </xf>
    <xf numFmtId="0" fontId="16" fillId="0" borderId="0" xfId="115" applyFont="1" applyAlignment="1">
      <alignment horizontal="right"/>
      <protection/>
    </xf>
    <xf numFmtId="0" fontId="16" fillId="0" borderId="0" xfId="115" applyFont="1" applyAlignment="1">
      <alignment horizontal="center"/>
      <protection/>
    </xf>
    <xf numFmtId="0" fontId="16" fillId="0" borderId="0" xfId="115" applyFont="1" applyFill="1" applyAlignment="1">
      <alignment horizontal="center"/>
      <protection/>
    </xf>
    <xf numFmtId="9" fontId="9" fillId="0" borderId="0" xfId="115" applyNumberFormat="1" applyFont="1" applyFill="1" applyAlignment="1">
      <alignment horizontal="center"/>
      <protection/>
    </xf>
    <xf numFmtId="172" fontId="10" fillId="0" borderId="0" xfId="119" applyFont="1" applyBorder="1" applyAlignment="1" applyProtection="1">
      <alignment horizontal="center"/>
      <protection locked="0"/>
    </xf>
    <xf numFmtId="172" fontId="1" fillId="0" borderId="0" xfId="119" applyFont="1" applyAlignment="1" applyProtection="1">
      <alignment horizontal="center"/>
      <protection locked="0"/>
    </xf>
    <xf numFmtId="41" fontId="3" fillId="0" borderId="13" xfId="119" applyNumberFormat="1" applyFont="1" applyBorder="1" applyAlignment="1" applyProtection="1">
      <alignment/>
      <protection locked="0"/>
    </xf>
    <xf numFmtId="41" fontId="3" fillId="0" borderId="0" xfId="119" applyNumberFormat="1" applyFont="1" applyAlignment="1" applyProtection="1">
      <alignment vertical="center"/>
      <protection locked="0"/>
    </xf>
    <xf numFmtId="3" fontId="10" fillId="0" borderId="0" xfId="119" applyNumberFormat="1" applyFont="1" applyAlignment="1" applyProtection="1">
      <alignment horizontal="center"/>
      <protection locked="0"/>
    </xf>
    <xf numFmtId="41" fontId="3" fillId="0" borderId="0" xfId="119" applyNumberFormat="1" applyFont="1" applyFill="1" applyAlignment="1" applyProtection="1">
      <alignment/>
      <protection locked="0"/>
    </xf>
    <xf numFmtId="41" fontId="3" fillId="0" borderId="6" xfId="119" applyNumberFormat="1" applyFont="1" applyFill="1" applyBorder="1" applyAlignment="1" applyProtection="1">
      <alignment/>
      <protection locked="0"/>
    </xf>
    <xf numFmtId="3" fontId="3" fillId="0" borderId="0" xfId="119" applyNumberFormat="1" applyFont="1" applyFill="1" applyBorder="1" applyAlignment="1" applyProtection="1">
      <alignment horizontal="left"/>
      <protection locked="0"/>
    </xf>
    <xf numFmtId="0" fontId="3" fillId="0" borderId="0" xfId="119" applyNumberFormat="1" applyFont="1" applyFill="1" applyBorder="1" applyAlignment="1" applyProtection="1">
      <alignment horizontal="left"/>
      <protection locked="0"/>
    </xf>
    <xf numFmtId="172" fontId="4" fillId="0" borderId="0" xfId="119" applyFont="1" applyAlignment="1">
      <alignment horizontal="right"/>
    </xf>
    <xf numFmtId="165" fontId="4" fillId="0" borderId="0" xfId="119" applyNumberFormat="1" applyFont="1" applyAlignment="1">
      <alignment/>
    </xf>
    <xf numFmtId="41" fontId="3" fillId="0" borderId="0" xfId="119" applyNumberFormat="1" applyFont="1" applyAlignment="1" applyProtection="1">
      <alignment horizontal="center"/>
      <protection locked="0"/>
    </xf>
    <xf numFmtId="41" fontId="3" fillId="0" borderId="0" xfId="119" applyNumberFormat="1" applyFont="1" applyFill="1" applyBorder="1" applyAlignment="1" applyProtection="1">
      <alignment/>
      <protection locked="0"/>
    </xf>
    <xf numFmtId="172" fontId="3" fillId="0" borderId="0" xfId="119" applyFont="1" applyFill="1" applyAlignment="1" applyProtection="1">
      <alignment horizontal="right"/>
      <protection locked="0"/>
    </xf>
    <xf numFmtId="41" fontId="3" fillId="0" borderId="0" xfId="119" applyNumberFormat="1" applyFont="1" applyFill="1" applyAlignment="1" applyProtection="1">
      <alignment horizontal="right"/>
      <protection locked="0"/>
    </xf>
    <xf numFmtId="41" fontId="3" fillId="0" borderId="0" xfId="119"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9" applyNumberFormat="1" applyFont="1" applyFill="1" applyAlignment="1" applyProtection="1">
      <alignment/>
      <protection locked="0"/>
    </xf>
    <xf numFmtId="41" fontId="18" fillId="4" borderId="6" xfId="119"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9" applyNumberFormat="1" applyFont="1" applyAlignment="1" applyProtection="1">
      <alignment/>
      <protection locked="0"/>
    </xf>
    <xf numFmtId="172" fontId="3" fillId="0" borderId="0" xfId="119" applyFont="1" applyAlignment="1">
      <alignment horizontal="center"/>
    </xf>
    <xf numFmtId="3" fontId="3" fillId="0" borderId="0" xfId="119" applyNumberFormat="1" applyFont="1" applyFill="1" applyProtection="1">
      <alignment/>
      <protection locked="0"/>
    </xf>
    <xf numFmtId="0" fontId="3" fillId="0" borderId="0" xfId="0" applyFont="1" applyFill="1" applyAlignment="1">
      <alignment horizontal="left"/>
    </xf>
    <xf numFmtId="41" fontId="3" fillId="0" borderId="0" xfId="119" applyNumberFormat="1" applyFont="1" applyBorder="1" applyAlignment="1" applyProtection="1">
      <alignment/>
      <protection locked="0"/>
    </xf>
    <xf numFmtId="172" fontId="3" fillId="0" borderId="0" xfId="119"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15" applyFont="1" applyFill="1">
      <alignment/>
      <protection/>
    </xf>
    <xf numFmtId="41" fontId="0" fillId="0" borderId="0" xfId="115" applyNumberFormat="1" applyFont="1" applyFill="1">
      <alignment/>
      <protection/>
    </xf>
    <xf numFmtId="0" fontId="14" fillId="0" borderId="0" xfId="115" applyFont="1" applyFill="1" applyAlignment="1">
      <alignment horizontal="left"/>
      <protection/>
    </xf>
    <xf numFmtId="3" fontId="0" fillId="0" borderId="0" xfId="0" applyNumberFormat="1" applyFont="1" applyFill="1" applyAlignment="1">
      <alignment/>
    </xf>
    <xf numFmtId="0" fontId="3" fillId="0" borderId="0" xfId="115" applyFont="1" applyFill="1" applyAlignment="1">
      <alignment horizontal="right"/>
      <protection/>
    </xf>
    <xf numFmtId="40" fontId="0" fillId="0" borderId="0" xfId="0" applyNumberFormat="1" applyFont="1" applyFill="1" applyAlignment="1">
      <alignment/>
    </xf>
    <xf numFmtId="42" fontId="3" fillId="0" borderId="0" xfId="119"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9" applyNumberFormat="1" applyFont="1" applyAlignment="1" applyProtection="1">
      <alignment/>
      <protection locked="0"/>
    </xf>
    <xf numFmtId="172" fontId="21" fillId="0" borderId="0" xfId="119" applyFont="1" applyAlignment="1">
      <alignment/>
    </xf>
    <xf numFmtId="168" fontId="3" fillId="0" borderId="0" xfId="119" applyNumberFormat="1" applyFont="1" applyFill="1" applyAlignment="1" applyProtection="1">
      <alignment horizontal="left"/>
      <protection locked="0"/>
    </xf>
    <xf numFmtId="0" fontId="0" fillId="0" borderId="0" xfId="115"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15" applyFont="1" applyFill="1">
      <alignment/>
      <protection/>
    </xf>
    <xf numFmtId="0" fontId="9" fillId="0" borderId="0" xfId="115" applyFont="1" applyFill="1" applyBorder="1" applyAlignment="1">
      <alignment horizontal="left"/>
      <protection/>
    </xf>
    <xf numFmtId="0" fontId="9" fillId="0" borderId="0" xfId="115" applyFont="1" applyFill="1" applyBorder="1">
      <alignment/>
      <protection/>
    </xf>
    <xf numFmtId="0" fontId="0" fillId="0" borderId="0" xfId="115" applyFont="1" applyAlignment="1">
      <alignment horizontal="left"/>
      <protection/>
    </xf>
    <xf numFmtId="0" fontId="4" fillId="0" borderId="0" xfId="11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15" applyNumberFormat="1" applyFont="1" applyFill="1" applyBorder="1">
      <alignment/>
      <protection/>
    </xf>
    <xf numFmtId="0" fontId="24" fillId="0" borderId="0" xfId="115" applyFont="1" applyFill="1" applyAlignment="1">
      <alignment horizontal="left"/>
      <protection/>
    </xf>
    <xf numFmtId="0" fontId="3" fillId="0" borderId="0" xfId="115" applyFont="1" applyFill="1">
      <alignment/>
      <protection/>
    </xf>
    <xf numFmtId="41" fontId="3" fillId="0" borderId="0" xfId="115" applyNumberFormat="1" applyFont="1" applyFill="1">
      <alignment/>
      <protection/>
    </xf>
    <xf numFmtId="41" fontId="3" fillId="0" borderId="0" xfId="115" applyNumberFormat="1" applyFont="1" applyFill="1" applyBorder="1" applyAlignment="1">
      <alignment vertical="top"/>
      <protection/>
    </xf>
    <xf numFmtId="181" fontId="3" fillId="0" borderId="0" xfId="115" applyNumberFormat="1" applyFont="1" applyFill="1">
      <alignment/>
      <protection/>
    </xf>
    <xf numFmtId="41" fontId="3" fillId="0" borderId="0" xfId="115" applyNumberFormat="1" applyFont="1" applyFill="1" applyBorder="1">
      <alignment/>
      <protection/>
    </xf>
    <xf numFmtId="0" fontId="3" fillId="0" borderId="0" xfId="115" applyFont="1" applyFill="1" applyAlignment="1">
      <alignment horizontal="left"/>
      <protection/>
    </xf>
    <xf numFmtId="0" fontId="25" fillId="0" borderId="0" xfId="115" applyFont="1" applyFill="1" applyBorder="1">
      <alignment/>
      <protection/>
    </xf>
    <xf numFmtId="0" fontId="3" fillId="0" borderId="0" xfId="115" applyFont="1" applyFill="1" applyAlignment="1">
      <alignment horizontal="center"/>
      <protection/>
    </xf>
    <xf numFmtId="0" fontId="10" fillId="0" borderId="0" xfId="115" applyFont="1" applyFill="1" applyAlignment="1">
      <alignment horizontal="center"/>
      <protection/>
    </xf>
    <xf numFmtId="173" fontId="3" fillId="0" borderId="0" xfId="115" applyNumberFormat="1" applyFont="1" applyFill="1">
      <alignment/>
      <protection/>
    </xf>
    <xf numFmtId="173" fontId="3" fillId="0" borderId="0" xfId="115" applyNumberFormat="1" applyFont="1" applyFill="1" applyBorder="1" applyAlignment="1">
      <alignment vertical="top"/>
      <protection/>
    </xf>
    <xf numFmtId="41" fontId="3" fillId="0" borderId="15" xfId="115" applyNumberFormat="1" applyFont="1" applyFill="1" applyBorder="1">
      <alignment/>
      <protection/>
    </xf>
    <xf numFmtId="173" fontId="4" fillId="0" borderId="0" xfId="73" applyNumberFormat="1" applyFont="1" applyFill="1" applyAlignment="1">
      <alignment horizontal="center"/>
    </xf>
    <xf numFmtId="0" fontId="3" fillId="0" borderId="0" xfId="115" applyFont="1" applyFill="1" applyAlignment="1">
      <alignment horizontal="center"/>
      <protection/>
    </xf>
    <xf numFmtId="0" fontId="26" fillId="0" borderId="0" xfId="115" applyFont="1" applyFill="1" applyBorder="1">
      <alignment/>
      <protection/>
    </xf>
    <xf numFmtId="174" fontId="0" fillId="0" borderId="0" xfId="0" applyNumberFormat="1" applyAlignment="1">
      <alignment/>
    </xf>
    <xf numFmtId="0" fontId="10" fillId="0" borderId="0" xfId="115" applyFont="1" applyAlignment="1">
      <alignment horizontal="center"/>
      <protection/>
    </xf>
    <xf numFmtId="41" fontId="3" fillId="0" borderId="15" xfId="115" applyNumberFormat="1" applyFont="1" applyFill="1" applyBorder="1">
      <alignment/>
      <protection/>
    </xf>
    <xf numFmtId="0" fontId="3" fillId="0" borderId="0" xfId="119" applyNumberFormat="1" applyFont="1" applyFill="1" applyAlignment="1">
      <alignment horizontal="center"/>
    </xf>
    <xf numFmtId="166" fontId="3" fillId="0" borderId="0" xfId="119" applyNumberFormat="1" applyFont="1" applyFill="1">
      <alignment/>
    </xf>
    <xf numFmtId="1" fontId="3" fillId="0" borderId="0" xfId="119" applyNumberFormat="1" applyFont="1" applyFill="1">
      <alignment/>
    </xf>
    <xf numFmtId="172" fontId="10" fillId="0" borderId="0" xfId="119" applyFont="1" applyAlignment="1" applyProtection="1">
      <alignment horizontal="center"/>
      <protection locked="0"/>
    </xf>
    <xf numFmtId="41" fontId="3" fillId="0" borderId="0" xfId="119" applyNumberFormat="1" applyFont="1" applyAlignment="1" applyProtection="1">
      <alignment horizontal="right"/>
      <protection locked="0"/>
    </xf>
    <xf numFmtId="43" fontId="0" fillId="0" borderId="0" xfId="0" applyNumberFormat="1" applyAlignment="1">
      <alignment/>
    </xf>
    <xf numFmtId="178" fontId="3" fillId="0" borderId="0" xfId="119" applyNumberFormat="1" applyFont="1" applyAlignment="1">
      <alignment/>
    </xf>
    <xf numFmtId="38" fontId="0" fillId="0" borderId="0" xfId="0" applyNumberFormat="1" applyFont="1" applyFill="1" applyBorder="1" applyAlignment="1">
      <alignment/>
    </xf>
    <xf numFmtId="172" fontId="3" fillId="0" borderId="0" xfId="119"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9" applyNumberFormat="1" applyFont="1" applyFill="1" applyAlignment="1" applyProtection="1">
      <alignment horizontal="center" vertical="center"/>
      <protection locked="0"/>
    </xf>
    <xf numFmtId="0" fontId="3" fillId="0" borderId="0" xfId="119" applyNumberFormat="1" applyFont="1" applyFill="1" applyAlignment="1" applyProtection="1">
      <alignment horizontal="center" vertical="center"/>
      <protection locked="0"/>
    </xf>
    <xf numFmtId="3" fontId="3" fillId="0" borderId="0" xfId="119" applyNumberFormat="1" applyFont="1" applyFill="1" applyAlignment="1" applyProtection="1">
      <alignment horizontal="center" wrapText="1"/>
      <protection locked="0"/>
    </xf>
    <xf numFmtId="41" fontId="3" fillId="0" borderId="0" xfId="119" applyNumberFormat="1" applyFont="1" applyFill="1" applyAlignment="1" applyProtection="1">
      <alignment horizontal="center"/>
      <protection locked="0"/>
    </xf>
    <xf numFmtId="3" fontId="3" fillId="0" borderId="6" xfId="119"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23" applyFont="1">
      <alignment/>
      <protection/>
    </xf>
    <xf numFmtId="0" fontId="3" fillId="0" borderId="0" xfId="123" applyFont="1" applyAlignment="1">
      <alignment horizontal="center"/>
      <protection/>
    </xf>
    <xf numFmtId="0" fontId="3" fillId="0" borderId="0" xfId="123" applyFont="1">
      <alignment/>
      <protection/>
    </xf>
    <xf numFmtId="43" fontId="3" fillId="0" borderId="0" xfId="81" applyFont="1" applyFill="1" applyAlignment="1">
      <alignment/>
    </xf>
    <xf numFmtId="173" fontId="3" fillId="0" borderId="0" xfId="123" applyNumberFormat="1" applyFont="1" applyBorder="1">
      <alignment/>
      <protection/>
    </xf>
    <xf numFmtId="40" fontId="3" fillId="0" borderId="0" xfId="115"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15" applyNumberFormat="1" applyFont="1" applyFill="1">
      <alignment/>
      <protection/>
    </xf>
    <xf numFmtId="3" fontId="3" fillId="0" borderId="0" xfId="0" applyNumberFormat="1" applyFont="1" applyFill="1" applyAlignment="1">
      <alignment/>
    </xf>
    <xf numFmtId="41" fontId="18" fillId="20" borderId="0" xfId="115"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3" applyNumberFormat="1" applyFont="1" applyFill="1" applyBorder="1" applyAlignment="1">
      <alignment/>
    </xf>
    <xf numFmtId="173" fontId="0" fillId="0" borderId="0" xfId="0" applyNumberFormat="1" applyBorder="1" applyAlignment="1">
      <alignment/>
    </xf>
    <xf numFmtId="0" fontId="7" fillId="0" borderId="0" xfId="109" applyFont="1" applyFill="1" applyBorder="1" applyAlignment="1">
      <alignment horizontal="left"/>
      <protection/>
    </xf>
    <xf numFmtId="0" fontId="0" fillId="0" borderId="0" xfId="109" applyNumberFormat="1" applyFont="1" applyFill="1" applyBorder="1" applyAlignment="1">
      <alignment/>
      <protection/>
    </xf>
    <xf numFmtId="0" fontId="0" fillId="0" borderId="0" xfId="109" applyFont="1" applyBorder="1" applyAlignment="1">
      <alignment/>
      <protection/>
    </xf>
    <xf numFmtId="0" fontId="0" fillId="0" borderId="0" xfId="109" applyFont="1" applyBorder="1" applyAlignment="1">
      <alignment horizontal="center"/>
      <protection/>
    </xf>
    <xf numFmtId="0" fontId="0" fillId="0" borderId="0" xfId="109" applyFont="1" applyBorder="1">
      <alignment/>
      <protection/>
    </xf>
    <xf numFmtId="0" fontId="0" fillId="0" borderId="0" xfId="109" applyNumberFormat="1" applyFont="1" applyFill="1" applyBorder="1" applyAlignment="1">
      <alignment horizontal="left"/>
      <protection/>
    </xf>
    <xf numFmtId="0" fontId="9" fillId="0" borderId="0" xfId="109" applyNumberFormat="1" applyFont="1" applyFill="1" applyBorder="1" applyAlignment="1">
      <alignment horizontal="left"/>
      <protection/>
    </xf>
    <xf numFmtId="3" fontId="8" fillId="0" borderId="0" xfId="109" applyNumberFormat="1" applyFont="1" applyFill="1" applyBorder="1" applyAlignment="1">
      <alignment horizontal="center"/>
      <protection/>
    </xf>
    <xf numFmtId="0" fontId="8" fillId="0" borderId="0" xfId="109" applyNumberFormat="1" applyFont="1" applyFill="1" applyBorder="1" applyAlignment="1">
      <alignment horizontal="center"/>
      <protection/>
    </xf>
    <xf numFmtId="0" fontId="0" fillId="0" borderId="0" xfId="109" applyFont="1" applyFill="1" applyBorder="1" applyAlignment="1">
      <alignment horizontal="center" wrapText="1"/>
      <protection/>
    </xf>
    <xf numFmtId="3" fontId="0" fillId="0" borderId="0" xfId="109" applyNumberFormat="1" applyFont="1" applyFill="1" applyBorder="1" applyAlignment="1">
      <alignment/>
      <protection/>
    </xf>
    <xf numFmtId="0" fontId="0" fillId="0" borderId="0" xfId="109" applyFont="1" applyFill="1" applyBorder="1" applyAlignment="1">
      <alignment/>
      <protection/>
    </xf>
    <xf numFmtId="0" fontId="16" fillId="0" borderId="0" xfId="109" applyNumberFormat="1" applyFont="1" applyFill="1" applyBorder="1" applyAlignment="1">
      <alignment horizontal="left"/>
      <protection/>
    </xf>
    <xf numFmtId="0" fontId="0" fillId="0" borderId="0" xfId="109"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9" applyFont="1" applyFill="1" applyBorder="1" applyAlignment="1">
      <alignment/>
      <protection/>
    </xf>
    <xf numFmtId="0" fontId="0" fillId="0" borderId="0" xfId="109" applyFont="1" applyFill="1" applyBorder="1">
      <alignment/>
      <protection/>
    </xf>
    <xf numFmtId="0" fontId="9" fillId="0" borderId="0" xfId="109" applyFont="1" applyBorder="1" applyAlignment="1">
      <alignment/>
      <protection/>
    </xf>
    <xf numFmtId="0" fontId="9" fillId="0" borderId="0" xfId="109" applyNumberFormat="1" applyFont="1" applyFill="1" applyBorder="1" applyAlignment="1">
      <alignment horizontal="center"/>
      <protection/>
    </xf>
    <xf numFmtId="164" fontId="0" fillId="0" borderId="0" xfId="128" applyNumberFormat="1" applyFont="1" applyFill="1" applyBorder="1" applyAlignment="1">
      <alignment/>
    </xf>
    <xf numFmtId="173" fontId="0" fillId="0" borderId="0" xfId="76" applyNumberFormat="1" applyFont="1" applyFill="1" applyBorder="1" applyAlignment="1">
      <alignment horizontal="left"/>
    </xf>
    <xf numFmtId="0" fontId="0" fillId="0" borderId="0" xfId="109" applyFont="1" applyFill="1" applyBorder="1" applyAlignment="1">
      <alignment horizontal="center"/>
      <protection/>
    </xf>
    <xf numFmtId="3" fontId="0" fillId="0" borderId="0" xfId="109" applyNumberFormat="1" applyFont="1" applyFill="1" applyBorder="1" applyAlignment="1">
      <alignment horizontal="right"/>
      <protection/>
    </xf>
    <xf numFmtId="3" fontId="0" fillId="0" borderId="0" xfId="109" applyNumberFormat="1" applyFont="1" applyFill="1" applyBorder="1" applyAlignment="1">
      <alignment horizontal="center"/>
      <protection/>
    </xf>
    <xf numFmtId="1" fontId="0" fillId="0" borderId="0" xfId="109"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9" applyNumberFormat="1" applyFont="1" applyFill="1" applyAlignment="1" applyProtection="1">
      <alignment horizontal="left"/>
      <protection locked="0"/>
    </xf>
    <xf numFmtId="0" fontId="3" fillId="0" borderId="6" xfId="119" applyNumberFormat="1" applyFont="1" applyFill="1" applyBorder="1" applyAlignment="1" applyProtection="1">
      <alignment horizontal="center"/>
      <protection locked="0"/>
    </xf>
    <xf numFmtId="3" fontId="4" fillId="0" borderId="0" xfId="119" applyNumberFormat="1" applyFont="1" applyFill="1" applyAlignment="1" applyProtection="1">
      <alignment horizontal="right"/>
      <protection locked="0"/>
    </xf>
    <xf numFmtId="0" fontId="3" fillId="0" borderId="0" xfId="119" applyNumberFormat="1" applyFont="1" applyAlignment="1" applyProtection="1">
      <alignment horizontal="left" wrapText="1"/>
      <protection locked="0"/>
    </xf>
    <xf numFmtId="0" fontId="18" fillId="0" borderId="0" xfId="115" applyFont="1" applyFill="1">
      <alignment/>
      <protection/>
    </xf>
    <xf numFmtId="0" fontId="9" fillId="0" borderId="0" xfId="109" applyFont="1" applyBorder="1" applyAlignment="1" quotePrefix="1">
      <alignment horizontal="center"/>
      <protection/>
    </xf>
    <xf numFmtId="0" fontId="9" fillId="0" borderId="0" xfId="109" applyFont="1" applyFill="1" applyBorder="1" applyAlignment="1" quotePrefix="1">
      <alignment horizontal="center"/>
      <protection/>
    </xf>
    <xf numFmtId="0" fontId="16" fillId="0" borderId="0" xfId="109" applyFont="1" applyBorder="1" applyAlignment="1">
      <alignment horizontal="center"/>
      <protection/>
    </xf>
    <xf numFmtId="0" fontId="20" fillId="0" borderId="0" xfId="109" applyFont="1" applyFill="1" applyBorder="1" applyAlignment="1">
      <alignment horizontal="center" wrapText="1"/>
      <protection/>
    </xf>
    <xf numFmtId="172" fontId="1" fillId="0" borderId="0" xfId="121" applyBorder="1" applyAlignment="1">
      <alignment/>
    </xf>
    <xf numFmtId="173" fontId="0" fillId="0" borderId="0" xfId="109" applyNumberFormat="1" applyFont="1" applyFill="1" applyBorder="1" applyAlignment="1">
      <alignment/>
      <protection/>
    </xf>
    <xf numFmtId="173" fontId="0" fillId="0" borderId="0" xfId="109" applyNumberFormat="1" applyFont="1" applyFill="1" applyBorder="1" applyAlignment="1">
      <alignment horizontal="right"/>
      <protection/>
    </xf>
    <xf numFmtId="0" fontId="16" fillId="0" borderId="0" xfId="109" applyFont="1" applyFill="1" applyBorder="1" applyAlignment="1">
      <alignment horizontal="left"/>
      <protection/>
    </xf>
    <xf numFmtId="0" fontId="9" fillId="0" borderId="0" xfId="109" applyFont="1" applyFill="1" applyBorder="1" applyAlignment="1">
      <alignment horizontal="left"/>
      <protection/>
    </xf>
    <xf numFmtId="0" fontId="9" fillId="0" borderId="0" xfId="109"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9" applyFont="1" applyBorder="1" applyAlignment="1">
      <alignment horizontal="center"/>
      <protection/>
    </xf>
    <xf numFmtId="0" fontId="0" fillId="0" borderId="0" xfId="115"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3"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9" applyFont="1" applyBorder="1" applyAlignment="1">
      <alignment horizontal="center"/>
      <protection/>
    </xf>
    <xf numFmtId="49" fontId="3" fillId="0" borderId="0" xfId="115"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9"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9"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9" applyNumberFormat="1" applyFont="1" applyFill="1" applyAlignment="1" applyProtection="1">
      <alignment horizontal="center" vertical="center"/>
      <protection locked="0"/>
    </xf>
    <xf numFmtId="41" fontId="3" fillId="0" borderId="0" xfId="119" applyNumberFormat="1" applyFont="1" applyFill="1" applyAlignment="1" applyProtection="1">
      <alignment vertical="center"/>
      <protection locked="0"/>
    </xf>
    <xf numFmtId="0" fontId="1" fillId="0" borderId="0" xfId="0" applyFont="1" applyAlignment="1">
      <alignment/>
    </xf>
    <xf numFmtId="0" fontId="9" fillId="0" borderId="0" xfId="109" applyFont="1" applyBorder="1">
      <alignment/>
      <protection/>
    </xf>
    <xf numFmtId="42" fontId="3" fillId="0" borderId="14" xfId="119" applyNumberFormat="1" applyFont="1" applyBorder="1" applyAlignment="1" applyProtection="1">
      <alignment/>
      <protection locked="0"/>
    </xf>
    <xf numFmtId="3" fontId="21" fillId="0" borderId="0" xfId="119" applyNumberFormat="1" applyFont="1" applyFill="1" applyAlignment="1" applyProtection="1">
      <alignment horizontal="left"/>
      <protection locked="0"/>
    </xf>
    <xf numFmtId="0" fontId="13" fillId="0" borderId="0" xfId="119" applyNumberFormat="1" applyFont="1" applyFill="1" applyBorder="1" applyAlignment="1" applyProtection="1">
      <alignment horizontal="left"/>
      <protection locked="0"/>
    </xf>
    <xf numFmtId="3" fontId="4" fillId="0" borderId="0" xfId="119" applyNumberFormat="1" applyFont="1" applyFill="1" applyAlignment="1" applyProtection="1">
      <alignment/>
      <protection locked="0"/>
    </xf>
    <xf numFmtId="172" fontId="4" fillId="0" borderId="0" xfId="119"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19" applyNumberFormat="1" applyFont="1" applyFill="1" applyAlignment="1" applyProtection="1">
      <alignment/>
      <protection locked="0"/>
    </xf>
    <xf numFmtId="184" fontId="3" fillId="0" borderId="0" xfId="119" applyNumberFormat="1" applyFont="1" applyFill="1" applyAlignment="1" applyProtection="1">
      <alignment/>
      <protection locked="0"/>
    </xf>
    <xf numFmtId="3" fontId="4" fillId="0" borderId="0" xfId="119" applyNumberFormat="1" applyFont="1" applyFill="1" applyAlignment="1" applyProtection="1">
      <alignment horizontal="right" vertical="center"/>
      <protection locked="0"/>
    </xf>
    <xf numFmtId="165" fontId="3" fillId="0" borderId="0" xfId="119" applyNumberFormat="1" applyFont="1" applyFill="1" applyAlignment="1" applyProtection="1">
      <alignment/>
      <protection locked="0"/>
    </xf>
    <xf numFmtId="164" fontId="3" fillId="0" borderId="0" xfId="119"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6" applyNumberFormat="1" applyFont="1" applyFill="1" applyAlignment="1" applyProtection="1">
      <alignment/>
      <protection locked="0"/>
    </xf>
    <xf numFmtId="3" fontId="3" fillId="0" borderId="6" xfId="119" applyNumberFormat="1" applyFont="1" applyFill="1" applyBorder="1" applyAlignment="1" applyProtection="1">
      <alignment/>
      <protection locked="0"/>
    </xf>
    <xf numFmtId="172" fontId="1" fillId="0" borderId="0" xfId="121"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15"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15" applyNumberFormat="1" applyFont="1" applyFill="1" applyBorder="1">
      <alignment/>
      <protection/>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19" applyNumberFormat="1" applyFont="1" applyFill="1" applyAlignment="1" applyProtection="1">
      <alignment horizontal="left"/>
      <protection locked="0"/>
    </xf>
    <xf numFmtId="42" fontId="3" fillId="0" borderId="0" xfId="119" applyNumberFormat="1" applyFont="1" applyFill="1" applyAlignment="1" applyProtection="1">
      <alignment/>
      <protection locked="0"/>
    </xf>
    <xf numFmtId="43" fontId="3" fillId="0" borderId="0" xfId="73" applyFont="1" applyAlignment="1" applyProtection="1">
      <alignment/>
      <protection locked="0"/>
    </xf>
    <xf numFmtId="171" fontId="3" fillId="0" borderId="0" xfId="119" applyNumberFormat="1" applyFont="1" applyProtection="1">
      <alignment/>
      <protection locked="0"/>
    </xf>
    <xf numFmtId="10" fontId="3" fillId="0" borderId="0" xfId="119" applyNumberFormat="1" applyFont="1" applyAlignment="1" applyProtection="1">
      <alignment/>
      <protection locked="0"/>
    </xf>
    <xf numFmtId="10" fontId="3" fillId="0" borderId="0" xfId="119"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9" applyNumberFormat="1" applyFont="1" applyBorder="1" applyAlignment="1" applyProtection="1">
      <alignment/>
      <protection locked="0"/>
    </xf>
    <xf numFmtId="3" fontId="0" fillId="0" borderId="0" xfId="119" applyNumberFormat="1" applyFont="1" applyAlignment="1" applyProtection="1">
      <alignment/>
      <protection locked="0"/>
    </xf>
    <xf numFmtId="172" fontId="0" fillId="0" borderId="0" xfId="119" applyFont="1" applyAlignment="1" applyProtection="1">
      <alignment/>
      <protection locked="0"/>
    </xf>
    <xf numFmtId="172" fontId="0" fillId="0" borderId="0" xfId="119" applyFont="1" applyBorder="1" applyAlignment="1" applyProtection="1">
      <alignment/>
      <protection locked="0"/>
    </xf>
    <xf numFmtId="10" fontId="0" fillId="0" borderId="0" xfId="119" applyNumberFormat="1" applyFont="1" applyFill="1" applyAlignment="1" applyProtection="1">
      <alignment horizontal="right"/>
      <protection locked="0"/>
    </xf>
    <xf numFmtId="172" fontId="0" fillId="0" borderId="16" xfId="119" applyFont="1" applyBorder="1" applyAlignment="1" applyProtection="1">
      <alignment/>
      <protection locked="0"/>
    </xf>
    <xf numFmtId="3" fontId="0" fillId="0" borderId="17" xfId="119" applyNumberFormat="1" applyFont="1" applyBorder="1" applyAlignment="1" applyProtection="1">
      <alignment/>
      <protection locked="0"/>
    </xf>
    <xf numFmtId="3" fontId="12" fillId="0" borderId="0" xfId="119" applyNumberFormat="1" applyFont="1" applyAlignment="1" applyProtection="1">
      <alignment horizontal="center"/>
      <protection locked="0"/>
    </xf>
    <xf numFmtId="10" fontId="12" fillId="0" borderId="0" xfId="119" applyNumberFormat="1" applyFont="1" applyFill="1" applyAlignment="1" applyProtection="1">
      <alignment horizontal="center"/>
      <protection locked="0"/>
    </xf>
    <xf numFmtId="0" fontId="0" fillId="0" borderId="0" xfId="119"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9" applyNumberFormat="1" applyFont="1" applyAlignment="1" applyProtection="1">
      <alignment horizontal="center"/>
      <protection locked="0"/>
    </xf>
    <xf numFmtId="166" fontId="0" fillId="0" borderId="0" xfId="119" applyNumberFormat="1" applyFont="1" applyBorder="1" applyAlignment="1" applyProtection="1">
      <alignment horizontal="center"/>
      <protection locked="0"/>
    </xf>
    <xf numFmtId="41" fontId="0" fillId="0" borderId="0" xfId="119" applyNumberFormat="1" applyFont="1" applyAlignment="1" applyProtection="1">
      <alignment/>
      <protection locked="0"/>
    </xf>
    <xf numFmtId="41" fontId="0" fillId="0" borderId="0" xfId="119" applyNumberFormat="1" applyFont="1" applyAlignment="1" applyProtection="1">
      <alignment horizontal="center"/>
      <protection locked="0"/>
    </xf>
    <xf numFmtId="41" fontId="0" fillId="0" borderId="0" xfId="119" applyNumberFormat="1" applyFont="1" applyBorder="1" applyAlignment="1" applyProtection="1">
      <alignment horizontal="center"/>
      <protection locked="0"/>
    </xf>
    <xf numFmtId="0" fontId="0" fillId="0" borderId="0" xfId="119" applyNumberFormat="1" applyFont="1" applyBorder="1" applyAlignment="1" applyProtection="1">
      <alignment horizontal="right"/>
      <protection locked="0"/>
    </xf>
    <xf numFmtId="3" fontId="0" fillId="0" borderId="0" xfId="119" applyNumberFormat="1" applyFont="1" applyAlignment="1" applyProtection="1">
      <alignment horizontal="right"/>
      <protection locked="0"/>
    </xf>
    <xf numFmtId="10" fontId="0" fillId="0" borderId="0" xfId="119" applyNumberFormat="1" applyFont="1" applyFill="1" applyAlignment="1" applyProtection="1">
      <alignment horizontal="left"/>
      <protection locked="0"/>
    </xf>
    <xf numFmtId="41" fontId="0" fillId="0" borderId="0" xfId="119" applyNumberFormat="1" applyFont="1" applyBorder="1" applyAlignment="1" applyProtection="1">
      <alignment/>
      <protection locked="0"/>
    </xf>
    <xf numFmtId="41" fontId="0" fillId="0" borderId="0" xfId="119" applyNumberFormat="1" applyFont="1" applyFill="1" applyAlignment="1" applyProtection="1">
      <alignment/>
      <protection locked="0"/>
    </xf>
    <xf numFmtId="0" fontId="0" fillId="0" borderId="0" xfId="0" applyFont="1" applyBorder="1" applyAlignment="1">
      <alignment/>
    </xf>
    <xf numFmtId="41" fontId="0" fillId="0" borderId="0" xfId="119" applyNumberFormat="1" applyFont="1" applyFill="1" applyAlignment="1" applyProtection="1">
      <alignment horizontal="left"/>
      <protection locked="0"/>
    </xf>
    <xf numFmtId="41" fontId="0" fillId="0" borderId="0" xfId="119" applyNumberFormat="1" applyFont="1" applyFill="1" applyBorder="1" applyAlignment="1" applyProtection="1">
      <alignment horizontal="right"/>
      <protection locked="0"/>
    </xf>
    <xf numFmtId="167" fontId="0" fillId="0" borderId="0" xfId="119" applyNumberFormat="1" applyFont="1" applyAlignment="1" applyProtection="1">
      <alignment/>
      <protection locked="0"/>
    </xf>
    <xf numFmtId="164" fontId="0" fillId="0" borderId="0" xfId="119" applyNumberFormat="1" applyFont="1" applyFill="1" applyBorder="1" applyAlignment="1" applyProtection="1">
      <alignment horizontal="left"/>
      <protection locked="0"/>
    </xf>
    <xf numFmtId="164" fontId="0" fillId="0" borderId="0" xfId="119" applyNumberFormat="1" applyFont="1" applyBorder="1" applyAlignment="1" applyProtection="1">
      <alignment horizontal="left"/>
      <protection locked="0"/>
    </xf>
    <xf numFmtId="3" fontId="0" fillId="0" borderId="0" xfId="119" applyNumberFormat="1" applyFont="1" applyAlignment="1" applyProtection="1">
      <alignment vertical="center" wrapText="1"/>
      <protection locked="0"/>
    </xf>
    <xf numFmtId="41" fontId="0" fillId="0" borderId="0" xfId="119" applyNumberFormat="1" applyFont="1" applyBorder="1" applyAlignment="1" applyProtection="1">
      <alignment vertical="center"/>
      <protection locked="0"/>
    </xf>
    <xf numFmtId="41" fontId="0" fillId="0" borderId="0" xfId="119" applyNumberFormat="1" applyFont="1" applyBorder="1" applyAlignment="1" applyProtection="1">
      <alignment horizontal="center" vertical="center"/>
      <protection locked="0"/>
    </xf>
    <xf numFmtId="41" fontId="0" fillId="0" borderId="0" xfId="119"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9" applyNumberFormat="1" applyFont="1" applyFill="1" applyBorder="1" applyAlignment="1" applyProtection="1">
      <alignment/>
      <protection locked="0"/>
    </xf>
    <xf numFmtId="0" fontId="0"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protection locked="0"/>
    </xf>
    <xf numFmtId="41" fontId="0" fillId="0" borderId="0" xfId="119" applyNumberFormat="1" applyFont="1" applyFill="1" applyBorder="1" applyAlignment="1" applyProtection="1">
      <alignment horizontal="center"/>
      <protection locked="0"/>
    </xf>
    <xf numFmtId="0" fontId="0" fillId="0" borderId="0" xfId="119" applyNumberFormat="1" applyFont="1" applyFill="1" applyBorder="1" applyProtection="1">
      <alignment/>
      <protection locked="0"/>
    </xf>
    <xf numFmtId="41" fontId="12" fillId="0" borderId="0" xfId="119" applyNumberFormat="1" applyFont="1" applyFill="1" applyBorder="1" applyAlignment="1" applyProtection="1">
      <alignment/>
      <protection locked="0"/>
    </xf>
    <xf numFmtId="3" fontId="0" fillId="0" borderId="0" xfId="119" applyNumberFormat="1" applyFont="1" applyFill="1" applyBorder="1" applyAlignment="1" applyProtection="1">
      <alignment horizontal="center"/>
      <protection locked="0"/>
    </xf>
    <xf numFmtId="0" fontId="0" fillId="0" borderId="0" xfId="119" applyNumberFormat="1" applyFont="1" applyFill="1" applyBorder="1" applyAlignment="1" applyProtection="1">
      <alignment horizontal="center"/>
      <protection locked="0"/>
    </xf>
    <xf numFmtId="10" fontId="0" fillId="0" borderId="0" xfId="119" applyNumberFormat="1" applyFont="1" applyFill="1" applyBorder="1" applyAlignment="1" applyProtection="1">
      <alignment/>
      <protection locked="0"/>
    </xf>
    <xf numFmtId="169" fontId="0" fillId="0" borderId="0" xfId="119" applyNumberFormat="1" applyFont="1" applyFill="1" applyBorder="1" applyAlignment="1" applyProtection="1">
      <alignment/>
      <protection locked="0"/>
    </xf>
    <xf numFmtId="172" fontId="0" fillId="0" borderId="0" xfId="119" applyFont="1" applyFill="1" applyBorder="1" applyAlignment="1" applyProtection="1">
      <alignment/>
      <protection locked="0"/>
    </xf>
    <xf numFmtId="169" fontId="9" fillId="0" borderId="0" xfId="119"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6"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20" fillId="0" borderId="0" xfId="0" applyFont="1" applyAlignment="1">
      <alignment/>
    </xf>
    <xf numFmtId="0" fontId="0" fillId="0" borderId="0" xfId="0" applyFont="1" applyAlignment="1">
      <alignment wrapText="1"/>
    </xf>
    <xf numFmtId="10" fontId="3" fillId="0" borderId="0" xfId="119" applyNumberFormat="1" applyFont="1" applyFill="1" applyAlignment="1" applyProtection="1">
      <alignment horizontal="right"/>
      <protection locked="0"/>
    </xf>
    <xf numFmtId="179" fontId="3" fillId="0" borderId="0" xfId="119" applyNumberFormat="1" applyFont="1" applyFill="1" applyAlignment="1" applyProtection="1">
      <alignment horizontal="right"/>
      <protection locked="0"/>
    </xf>
    <xf numFmtId="10" fontId="0" fillId="0" borderId="0" xfId="0" applyNumberFormat="1" applyAlignment="1">
      <alignment/>
    </xf>
    <xf numFmtId="186" fontId="17" fillId="0" borderId="0" xfId="120" applyNumberFormat="1" applyFont="1">
      <alignment/>
      <protection/>
    </xf>
    <xf numFmtId="0" fontId="67" fillId="0" borderId="0" xfId="120" applyFont="1">
      <alignment/>
      <protection/>
    </xf>
    <xf numFmtId="186" fontId="17" fillId="0" borderId="0" xfId="120" applyNumberFormat="1" applyFont="1" applyAlignment="1">
      <alignment horizontal="center"/>
      <protection/>
    </xf>
    <xf numFmtId="0" fontId="0" fillId="0" borderId="0" xfId="120" applyFont="1">
      <alignment/>
      <protection/>
    </xf>
    <xf numFmtId="0" fontId="17" fillId="0" borderId="0" xfId="120" applyFont="1">
      <alignment/>
      <protection/>
    </xf>
    <xf numFmtId="0" fontId="17" fillId="0" borderId="0" xfId="120" applyNumberFormat="1" applyFont="1" applyAlignment="1">
      <alignment horizontal="center"/>
      <protection/>
    </xf>
    <xf numFmtId="0" fontId="17" fillId="0" borderId="0" xfId="120" applyNumberFormat="1" applyFont="1">
      <alignment/>
      <protection/>
    </xf>
    <xf numFmtId="0" fontId="17" fillId="0" borderId="0" xfId="120" applyNumberFormat="1" applyFont="1" applyBorder="1" applyAlignment="1">
      <alignment horizontal="center"/>
      <protection/>
    </xf>
    <xf numFmtId="186" fontId="68" fillId="0" borderId="0" xfId="120" applyNumberFormat="1" applyFont="1">
      <alignment/>
      <protection/>
    </xf>
    <xf numFmtId="0" fontId="69" fillId="0" borderId="0" xfId="120" applyFont="1">
      <alignment/>
      <protection/>
    </xf>
    <xf numFmtId="173" fontId="67" fillId="0" borderId="0" xfId="120" applyNumberFormat="1" applyFont="1">
      <alignment/>
      <protection/>
    </xf>
    <xf numFmtId="0" fontId="70" fillId="0" borderId="0" xfId="120" applyFont="1">
      <alignment/>
      <protection/>
    </xf>
    <xf numFmtId="186" fontId="0" fillId="0" borderId="0" xfId="120" applyNumberFormat="1" applyFont="1">
      <alignment/>
      <protection/>
    </xf>
    <xf numFmtId="0" fontId="17" fillId="0" borderId="0" xfId="117" applyFont="1" applyFill="1" applyAlignment="1">
      <alignment horizontal="center"/>
      <protection/>
    </xf>
    <xf numFmtId="0" fontId="17" fillId="0" borderId="0" xfId="117" applyFont="1" applyFill="1" applyAlignment="1">
      <alignment horizontal="left" indent="2"/>
      <protection/>
    </xf>
    <xf numFmtId="39" fontId="17" fillId="0" borderId="0" xfId="117" applyNumberFormat="1" applyFont="1" applyFill="1">
      <alignment/>
      <protection/>
    </xf>
    <xf numFmtId="0" fontId="67" fillId="0" borderId="0" xfId="120" applyFont="1" applyFill="1">
      <alignment/>
      <protection/>
    </xf>
    <xf numFmtId="0" fontId="0" fillId="0" borderId="0" xfId="120" applyNumberFormat="1" applyFont="1" applyAlignment="1">
      <alignment horizontal="center"/>
      <protection/>
    </xf>
    <xf numFmtId="0" fontId="0" fillId="0" borderId="0" xfId="120" applyNumberFormat="1" applyFont="1">
      <alignment/>
      <protection/>
    </xf>
    <xf numFmtId="43" fontId="67" fillId="0" borderId="0" xfId="73" applyFont="1" applyAlignment="1">
      <alignment/>
    </xf>
    <xf numFmtId="173" fontId="71" fillId="0" borderId="0" xfId="120" applyNumberFormat="1" applyFont="1">
      <alignment/>
      <protection/>
    </xf>
    <xf numFmtId="186" fontId="3" fillId="0" borderId="0" xfId="120"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0"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20" applyFont="1" applyAlignment="1">
      <alignment horizontal="center"/>
      <protection/>
    </xf>
    <xf numFmtId="49" fontId="3" fillId="0" borderId="0" xfId="109"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9" applyNumberFormat="1" applyFont="1" applyFill="1" applyBorder="1" applyAlignment="1" applyProtection="1">
      <alignment vertical="center"/>
      <protection locked="0"/>
    </xf>
    <xf numFmtId="0" fontId="3" fillId="0" borderId="0" xfId="119"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19"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9" applyNumberFormat="1" applyFont="1" applyAlignment="1" applyProtection="1">
      <alignment horizontal="center"/>
      <protection locked="0"/>
    </xf>
    <xf numFmtId="14" fontId="20" fillId="0" borderId="0" xfId="109"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09" applyNumberFormat="1" applyFont="1" applyBorder="1" applyAlignment="1">
      <alignment horizontal="center"/>
      <protection/>
    </xf>
    <xf numFmtId="41" fontId="4" fillId="20" borderId="0" xfId="119" applyNumberFormat="1" applyFont="1" applyFill="1" applyAlignment="1" applyProtection="1">
      <alignment horizontal="center" vertical="center"/>
      <protection locked="0"/>
    </xf>
    <xf numFmtId="172" fontId="21" fillId="0" borderId="0" xfId="119" applyFont="1" applyAlignment="1" applyProtection="1">
      <alignment/>
      <protection locked="0"/>
    </xf>
    <xf numFmtId="3" fontId="21" fillId="0" borderId="0" xfId="119" applyNumberFormat="1" applyFont="1" applyAlignment="1" applyProtection="1">
      <alignment/>
      <protection locked="0"/>
    </xf>
    <xf numFmtId="41" fontId="0" fillId="0" borderId="0" xfId="115" applyNumberFormat="1" applyFont="1">
      <alignment/>
      <protection/>
    </xf>
    <xf numFmtId="173" fontId="0" fillId="0" borderId="0" xfId="73" applyNumberFormat="1" applyFont="1" applyFill="1" applyAlignment="1">
      <alignment/>
    </xf>
    <xf numFmtId="0" fontId="9" fillId="0" borderId="0" xfId="115" applyFont="1" applyAlignment="1">
      <alignment horizontal="center" wrapText="1"/>
      <protection/>
    </xf>
    <xf numFmtId="0" fontId="8" fillId="4" borderId="0" xfId="115" applyFont="1" applyFill="1">
      <alignment/>
      <protection/>
    </xf>
    <xf numFmtId="41" fontId="8" fillId="4" borderId="11" xfId="115"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15" applyFill="1" applyAlignment="1">
      <alignment horizontal="left"/>
      <protection/>
    </xf>
    <xf numFmtId="0" fontId="75" fillId="0" borderId="0" xfId="115" applyFont="1" applyFill="1" applyBorder="1" applyAlignment="1">
      <alignment horizontal="left"/>
      <protection/>
    </xf>
    <xf numFmtId="0" fontId="0" fillId="0" borderId="0" xfId="115" applyFill="1">
      <alignment/>
      <protection/>
    </xf>
    <xf numFmtId="0" fontId="75" fillId="0" borderId="0" xfId="115" applyFont="1" applyFill="1" applyBorder="1">
      <alignment/>
      <protection/>
    </xf>
    <xf numFmtId="0" fontId="65" fillId="0" borderId="0" xfId="115"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9" applyNumberFormat="1" applyFont="1" applyFill="1" applyBorder="1" applyAlignment="1">
      <alignment horizontal="left"/>
      <protection/>
    </xf>
    <xf numFmtId="38" fontId="0" fillId="0" borderId="0" xfId="109" applyNumberFormat="1" applyFont="1" applyFill="1" applyBorder="1" applyAlignment="1">
      <alignment horizontal="right"/>
      <protection/>
    </xf>
    <xf numFmtId="0" fontId="0" fillId="0" borderId="0" xfId="10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9" applyFont="1" applyBorder="1" applyAlignment="1">
      <alignment horizontal="center"/>
      <protection/>
    </xf>
    <xf numFmtId="38" fontId="8" fillId="0" borderId="0" xfId="109" applyNumberFormat="1" applyFont="1" applyFill="1" applyBorder="1" applyAlignment="1">
      <alignment/>
      <protection/>
    </xf>
    <xf numFmtId="173" fontId="8" fillId="0" borderId="14" xfId="73" applyNumberFormat="1" applyFont="1" applyFill="1" applyBorder="1" applyAlignment="1">
      <alignment/>
    </xf>
    <xf numFmtId="0" fontId="0" fillId="0" borderId="14" xfId="109" applyNumberFormat="1" applyFont="1" applyFill="1" applyBorder="1" applyAlignment="1">
      <alignment horizontal="left"/>
      <protection/>
    </xf>
    <xf numFmtId="0" fontId="1" fillId="0" borderId="0" xfId="119" applyNumberFormat="1" applyFont="1" applyFill="1" applyBorder="1" applyAlignment="1" applyProtection="1">
      <alignment horizontal="center"/>
      <protection locked="0"/>
    </xf>
    <xf numFmtId="3" fontId="21" fillId="0" borderId="0" xfId="119" applyNumberFormat="1" applyFont="1" applyFill="1" applyAlignment="1" applyProtection="1">
      <alignment/>
      <protection locked="0"/>
    </xf>
    <xf numFmtId="168" fontId="3" fillId="0" borderId="0" xfId="119" applyNumberFormat="1" applyFont="1" applyAlignment="1" applyProtection="1">
      <alignment/>
      <protection locked="0"/>
    </xf>
    <xf numFmtId="10" fontId="18" fillId="22" borderId="0" xfId="119" applyNumberFormat="1" applyFont="1" applyFill="1" applyProtection="1">
      <alignment/>
      <protection locked="0"/>
    </xf>
    <xf numFmtId="10" fontId="3" fillId="22" borderId="0" xfId="119" applyNumberFormat="1" applyFont="1" applyFill="1" applyProtection="1">
      <alignment/>
      <protection locked="0"/>
    </xf>
    <xf numFmtId="0" fontId="17" fillId="0" borderId="0" xfId="120" applyNumberFormat="1" applyFont="1" applyFill="1" applyAlignment="1">
      <alignment horizontal="center"/>
      <protection/>
    </xf>
    <xf numFmtId="0" fontId="0" fillId="0" borderId="0" xfId="120" applyNumberFormat="1" applyFont="1" applyFill="1">
      <alignment/>
      <protection/>
    </xf>
    <xf numFmtId="41" fontId="67" fillId="0" borderId="0" xfId="120" applyNumberFormat="1" applyFont="1" applyFill="1">
      <alignment/>
      <protection/>
    </xf>
    <xf numFmtId="41" fontId="67" fillId="0" borderId="0" xfId="120" applyNumberFormat="1" applyFont="1" applyFill="1" applyBorder="1">
      <alignment/>
      <protection/>
    </xf>
    <xf numFmtId="173" fontId="67" fillId="0" borderId="0" xfId="120" applyNumberFormat="1" applyFont="1" applyFill="1">
      <alignment/>
      <protection/>
    </xf>
    <xf numFmtId="10" fontId="67" fillId="0" borderId="11" xfId="126"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6"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6" applyNumberFormat="1" applyFont="1" applyAlignment="1">
      <alignment/>
    </xf>
    <xf numFmtId="174" fontId="0" fillId="0" borderId="0" xfId="83"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6" applyNumberFormat="1" applyFont="1" applyAlignment="1">
      <alignment horizontal="right"/>
    </xf>
    <xf numFmtId="10" fontId="0" fillId="0" borderId="0" xfId="126" applyNumberFormat="1" applyFont="1" applyFill="1" applyAlignment="1" applyProtection="1">
      <alignment horizontal="right"/>
      <protection locked="0"/>
    </xf>
    <xf numFmtId="0" fontId="14" fillId="0" borderId="0" xfId="115" applyFont="1">
      <alignment/>
      <protection/>
    </xf>
    <xf numFmtId="0" fontId="0" fillId="0" borderId="0" xfId="115" applyAlignment="1">
      <alignment horizontal="left"/>
      <protection/>
    </xf>
    <xf numFmtId="0" fontId="0" fillId="0" borderId="0" xfId="115">
      <alignment/>
      <protection/>
    </xf>
    <xf numFmtId="0" fontId="14" fillId="0" borderId="0" xfId="115" applyFont="1" applyAlignment="1">
      <alignment horizontal="left"/>
      <protection/>
    </xf>
    <xf numFmtId="0" fontId="16" fillId="0" borderId="0" xfId="115" applyFont="1" applyAlignment="1">
      <alignment horizontal="left"/>
      <protection/>
    </xf>
    <xf numFmtId="0" fontId="15" fillId="0" borderId="0" xfId="115" applyFont="1" applyAlignment="1">
      <alignment horizontal="left"/>
      <protection/>
    </xf>
    <xf numFmtId="41" fontId="0" fillId="0" borderId="0" xfId="115" applyNumberFormat="1" applyBorder="1" applyAlignment="1">
      <alignment vertical="top"/>
      <protection/>
    </xf>
    <xf numFmtId="0" fontId="77" fillId="0" borderId="0" xfId="115" applyFont="1" applyFill="1" applyBorder="1">
      <alignment/>
      <protection/>
    </xf>
    <xf numFmtId="41" fontId="14" fillId="0" borderId="0" xfId="115" applyNumberFormat="1" applyFont="1" applyBorder="1">
      <alignment/>
      <protection/>
    </xf>
    <xf numFmtId="43" fontId="3" fillId="0" borderId="0" xfId="73" applyFont="1" applyAlignment="1" applyProtection="1">
      <alignment/>
      <protection locked="0"/>
    </xf>
    <xf numFmtId="172" fontId="3" fillId="0" borderId="11" xfId="119" applyFont="1" applyBorder="1" applyAlignment="1">
      <alignment/>
    </xf>
    <xf numFmtId="164" fontId="0" fillId="0" borderId="0" xfId="126" applyNumberFormat="1" applyFont="1" applyAlignment="1" applyProtection="1">
      <alignment/>
      <protection locked="0"/>
    </xf>
    <xf numFmtId="164" fontId="12" fillId="0" borderId="0" xfId="126" applyNumberFormat="1" applyFont="1" applyAlignment="1" applyProtection="1">
      <alignment/>
      <protection locked="0"/>
    </xf>
    <xf numFmtId="3" fontId="3" fillId="0" borderId="0" xfId="119" applyNumberFormat="1" applyFont="1" applyFill="1" applyAlignment="1" applyProtection="1">
      <alignment horizontal="right" vertical="center"/>
      <protection locked="0"/>
    </xf>
    <xf numFmtId="173" fontId="3" fillId="0" borderId="0" xfId="119" applyNumberFormat="1" applyFont="1" applyProtection="1">
      <alignment/>
      <protection locked="0"/>
    </xf>
    <xf numFmtId="187" fontId="3" fillId="0" borderId="0" xfId="119" applyNumberFormat="1" applyFont="1" applyProtection="1">
      <alignment/>
      <protection locked="0"/>
    </xf>
    <xf numFmtId="43" fontId="3" fillId="0" borderId="0" xfId="119" applyNumberFormat="1" applyFont="1" applyAlignment="1" applyProtection="1">
      <alignment horizontal="right"/>
      <protection locked="0"/>
    </xf>
    <xf numFmtId="164" fontId="3" fillId="0" borderId="0" xfId="126" applyNumberFormat="1" applyFont="1" applyAlignment="1">
      <alignment/>
    </xf>
    <xf numFmtId="42" fontId="3" fillId="0" borderId="0" xfId="126"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9" applyNumberFormat="1" applyFont="1" applyFill="1" applyBorder="1">
      <alignment/>
      <protection/>
    </xf>
    <xf numFmtId="173" fontId="8" fillId="4" borderId="11" xfId="76" applyNumberFormat="1" applyFont="1" applyFill="1" applyBorder="1" applyAlignment="1">
      <alignment horizontal="right"/>
    </xf>
    <xf numFmtId="0" fontId="4" fillId="0" borderId="0" xfId="123" applyFont="1" applyFill="1">
      <alignment/>
      <protection/>
    </xf>
    <xf numFmtId="0" fontId="3" fillId="0" borderId="0" xfId="0" applyFont="1" applyAlignment="1">
      <alignment/>
    </xf>
    <xf numFmtId="0" fontId="1" fillId="0" borderId="0" xfId="123"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6" applyNumberFormat="1" applyFont="1" applyFill="1" applyAlignment="1" applyProtection="1">
      <alignment/>
      <protection locked="0"/>
    </xf>
    <xf numFmtId="0" fontId="0" fillId="20" borderId="0" xfId="109" applyNumberFormat="1" applyFont="1" applyFill="1" applyBorder="1" applyAlignment="1">
      <alignment horizontal="center"/>
      <protection/>
    </xf>
    <xf numFmtId="0" fontId="9" fillId="20" borderId="0" xfId="109" applyNumberFormat="1" applyFont="1" applyFill="1" applyBorder="1" applyAlignment="1">
      <alignment horizontal="left"/>
      <protection/>
    </xf>
    <xf numFmtId="0" fontId="8" fillId="20" borderId="0" xfId="109" applyFont="1" applyFill="1" applyBorder="1" applyAlignment="1">
      <alignment/>
      <protection/>
    </xf>
    <xf numFmtId="0" fontId="0" fillId="20" borderId="0" xfId="109" applyNumberFormat="1" applyFont="1" applyFill="1" applyBorder="1" applyAlignment="1">
      <alignment horizontal="left"/>
      <protection/>
    </xf>
    <xf numFmtId="0" fontId="0" fillId="20" borderId="0" xfId="109"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8" applyNumberFormat="1" applyFont="1" applyFill="1" applyBorder="1" applyAlignment="1">
      <alignment/>
    </xf>
    <xf numFmtId="173" fontId="0" fillId="20" borderId="0" xfId="76" applyNumberFormat="1" applyFont="1" applyFill="1" applyBorder="1" applyAlignment="1">
      <alignment horizontal="left"/>
    </xf>
    <xf numFmtId="174" fontId="0" fillId="0" borderId="0" xfId="83" applyNumberFormat="1" applyFont="1" applyFill="1" applyAlignment="1">
      <alignment/>
    </xf>
    <xf numFmtId="41" fontId="3" fillId="0" borderId="0" xfId="119" applyNumberFormat="1" applyFont="1" applyFill="1" applyAlignment="1" applyProtection="1">
      <alignment horizontal="center" vertical="center"/>
      <protection locked="0"/>
    </xf>
    <xf numFmtId="170" fontId="3" fillId="0" borderId="0" xfId="119" applyNumberFormat="1" applyFont="1" applyAlignment="1">
      <alignment/>
    </xf>
    <xf numFmtId="41" fontId="3" fillId="0" borderId="6" xfId="119" applyNumberFormat="1" applyFont="1" applyFill="1" applyBorder="1" applyAlignment="1" applyProtection="1">
      <alignment horizontal="center"/>
      <protection locked="0"/>
    </xf>
    <xf numFmtId="49" fontId="3" fillId="0" borderId="0" xfId="109"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15" applyFont="1" applyAlignment="1">
      <alignment/>
      <protection/>
    </xf>
    <xf numFmtId="10" fontId="3" fillId="0" borderId="0" xfId="126" applyNumberFormat="1" applyFont="1" applyAlignment="1" applyProtection="1">
      <alignment/>
      <protection locked="0"/>
    </xf>
    <xf numFmtId="0" fontId="12" fillId="0" borderId="0" xfId="0" applyFont="1" applyBorder="1" applyAlignment="1">
      <alignment/>
    </xf>
    <xf numFmtId="0" fontId="16" fillId="0" borderId="0" xfId="109" applyFont="1" applyFill="1" applyBorder="1" applyAlignment="1">
      <alignment horizontal="center"/>
      <protection/>
    </xf>
    <xf numFmtId="0" fontId="12" fillId="0" borderId="0" xfId="109"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23" applyFont="1" applyBorder="1" applyAlignment="1">
      <alignment horizontal="center"/>
      <protection/>
    </xf>
    <xf numFmtId="0" fontId="10" fillId="0" borderId="0" xfId="123" applyFont="1" applyAlignment="1">
      <alignment horizontal="center"/>
      <protection/>
    </xf>
    <xf numFmtId="0" fontId="78" fillId="0" borderId="0" xfId="123" applyFont="1">
      <alignment/>
      <protection/>
    </xf>
    <xf numFmtId="0" fontId="13" fillId="0" borderId="0" xfId="115" applyFont="1" applyFill="1">
      <alignment/>
      <protection/>
    </xf>
    <xf numFmtId="0" fontId="79" fillId="0" borderId="0" xfId="115" applyFont="1" applyFill="1">
      <alignment/>
      <protection/>
    </xf>
    <xf numFmtId="9" fontId="10" fillId="0" borderId="0" xfId="115" applyNumberFormat="1" applyFont="1" applyFill="1" applyAlignment="1" quotePrefix="1">
      <alignment horizontal="center"/>
      <protection/>
    </xf>
    <xf numFmtId="0" fontId="2" fillId="0" borderId="0" xfId="120" applyNumberFormat="1" applyFont="1" applyAlignment="1">
      <alignment horizontal="center"/>
      <protection/>
    </xf>
    <xf numFmtId="0" fontId="2" fillId="0" borderId="0" xfId="120" applyNumberFormat="1" applyFont="1">
      <alignment/>
      <protection/>
    </xf>
    <xf numFmtId="186" fontId="2" fillId="0" borderId="0" xfId="120" applyNumberFormat="1" applyFont="1" applyAlignment="1">
      <alignment horizontal="center"/>
      <protection/>
    </xf>
    <xf numFmtId="0" fontId="9" fillId="0" borderId="0" xfId="120" applyFont="1">
      <alignment/>
      <protection/>
    </xf>
    <xf numFmtId="0" fontId="2" fillId="0" borderId="11" xfId="120" applyNumberFormat="1" applyFont="1" applyBorder="1" applyAlignment="1">
      <alignment horizontal="center"/>
      <protection/>
    </xf>
    <xf numFmtId="186" fontId="2" fillId="0" borderId="11" xfId="120" applyNumberFormat="1" applyFont="1" applyBorder="1" applyAlignment="1">
      <alignment horizontal="center"/>
      <protection/>
    </xf>
    <xf numFmtId="0" fontId="70" fillId="0" borderId="11" xfId="120" applyFont="1" applyBorder="1" applyAlignment="1">
      <alignment horizontal="center"/>
      <protection/>
    </xf>
    <xf numFmtId="0" fontId="9" fillId="0" borderId="0" xfId="120" applyFont="1" applyAlignment="1">
      <alignment horizontal="center"/>
      <protection/>
    </xf>
    <xf numFmtId="0" fontId="80" fillId="0" borderId="0" xfId="120" applyFont="1" applyFill="1">
      <alignment/>
      <protection/>
    </xf>
    <xf numFmtId="3" fontId="3" fillId="0" borderId="0" xfId="119" applyNumberFormat="1" applyFont="1" applyFill="1" applyAlignment="1" applyProtection="1">
      <alignment horizontal="right"/>
      <protection locked="0"/>
    </xf>
    <xf numFmtId="165" fontId="4" fillId="0" borderId="0" xfId="119"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9"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6" applyNumberFormat="1" applyFont="1" applyFill="1" applyAlignment="1">
      <alignment/>
    </xf>
    <xf numFmtId="0" fontId="12" fillId="0" borderId="0" xfId="115" applyFont="1" applyFill="1">
      <alignment/>
      <protection/>
    </xf>
    <xf numFmtId="41" fontId="0" fillId="0" borderId="0" xfId="115" applyNumberFormat="1" applyFill="1" applyBorder="1">
      <alignment/>
      <protection/>
    </xf>
    <xf numFmtId="0" fontId="8" fillId="4" borderId="0" xfId="115" applyFont="1" applyFill="1" applyAlignment="1">
      <alignment horizontal="left"/>
      <protection/>
    </xf>
    <xf numFmtId="164" fontId="8" fillId="4" borderId="0" xfId="126" applyNumberFormat="1" applyFont="1" applyFill="1" applyAlignment="1">
      <alignment horizontal="center"/>
    </xf>
    <xf numFmtId="0" fontId="16" fillId="0" borderId="0" xfId="115" applyFont="1" applyFill="1" applyAlignment="1">
      <alignment horizontal="left"/>
      <protection/>
    </xf>
    <xf numFmtId="0" fontId="0" fillId="0" borderId="0" xfId="115" applyFont="1" applyFill="1">
      <alignment/>
      <protection/>
    </xf>
    <xf numFmtId="10" fontId="0" fillId="0" borderId="0" xfId="126" applyNumberFormat="1" applyFont="1" applyFill="1" applyAlignment="1">
      <alignment horizontal="center"/>
    </xf>
    <xf numFmtId="41" fontId="0" fillId="4" borderId="0" xfId="115" applyNumberFormat="1" applyFill="1" applyBorder="1">
      <alignment/>
      <protection/>
    </xf>
    <xf numFmtId="41" fontId="8" fillId="4" borderId="0" xfId="115" applyNumberFormat="1" applyFont="1" applyFill="1" applyBorder="1">
      <alignment/>
      <protection/>
    </xf>
    <xf numFmtId="0" fontId="8" fillId="4" borderId="0" xfId="115" applyFont="1" applyFill="1">
      <alignment/>
      <protection/>
    </xf>
    <xf numFmtId="173" fontId="8" fillId="4" borderId="0" xfId="73" applyNumberFormat="1" applyFont="1" applyFill="1" applyAlignment="1">
      <alignment/>
    </xf>
    <xf numFmtId="10" fontId="8" fillId="4" borderId="0" xfId="126" applyNumberFormat="1" applyFont="1" applyFill="1" applyAlignment="1">
      <alignment horizontal="center"/>
    </xf>
    <xf numFmtId="164" fontId="8" fillId="4" borderId="0" xfId="126" applyNumberFormat="1" applyFont="1" applyFill="1" applyAlignment="1">
      <alignment horizontal="center"/>
    </xf>
    <xf numFmtId="41" fontId="0" fillId="0" borderId="12" xfId="115" applyNumberFormat="1" applyFont="1" applyBorder="1">
      <alignment/>
      <protection/>
    </xf>
    <xf numFmtId="10" fontId="0" fillId="0" borderId="0" xfId="126" applyNumberFormat="1" applyFont="1" applyAlignment="1">
      <alignment/>
    </xf>
    <xf numFmtId="10" fontId="8" fillId="4" borderId="0" xfId="126" applyNumberFormat="1" applyFont="1" applyFill="1" applyAlignment="1">
      <alignment/>
    </xf>
    <xf numFmtId="0" fontId="82" fillId="0" borderId="0" xfId="115" applyFont="1" applyFill="1">
      <alignment/>
      <protection/>
    </xf>
    <xf numFmtId="0" fontId="8" fillId="0" borderId="0" xfId="0" applyFont="1" applyFill="1" applyAlignment="1">
      <alignment wrapText="1"/>
    </xf>
    <xf numFmtId="173" fontId="0" fillId="0" borderId="0" xfId="109" applyNumberFormat="1" applyFont="1" applyFill="1" applyBorder="1" applyAlignment="1">
      <alignment horizontal="left"/>
      <protection/>
    </xf>
    <xf numFmtId="6" fontId="0" fillId="0" borderId="0" xfId="0" applyNumberFormat="1" applyFont="1" applyAlignment="1">
      <alignment horizontal="right"/>
    </xf>
    <xf numFmtId="174" fontId="0" fillId="0" borderId="0" xfId="8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6" applyFont="1" applyFill="1" applyBorder="1" applyAlignment="1">
      <alignment/>
    </xf>
    <xf numFmtId="9" fontId="0" fillId="0" borderId="0" xfId="126" applyFont="1" applyFill="1" applyAlignment="1">
      <alignment/>
    </xf>
    <xf numFmtId="9" fontId="67" fillId="0" borderId="0" xfId="126" applyFont="1" applyFill="1" applyAlignment="1">
      <alignment/>
    </xf>
    <xf numFmtId="41" fontId="84" fillId="27" borderId="0" xfId="120" applyNumberFormat="1" applyFont="1" applyFill="1">
      <alignment/>
      <protection/>
    </xf>
    <xf numFmtId="41" fontId="84" fillId="27" borderId="0" xfId="120" applyNumberFormat="1" applyFont="1" applyFill="1" applyBorder="1">
      <alignment/>
      <protection/>
    </xf>
    <xf numFmtId="0" fontId="70" fillId="0" borderId="0" xfId="120" applyFont="1" applyFill="1">
      <alignment/>
      <protection/>
    </xf>
    <xf numFmtId="10" fontId="67" fillId="0" borderId="0" xfId="126" applyNumberFormat="1" applyFont="1" applyFill="1" applyAlignment="1">
      <alignment/>
    </xf>
    <xf numFmtId="173" fontId="67" fillId="0" borderId="14" xfId="73" applyNumberFormat="1" applyFont="1" applyFill="1" applyBorder="1" applyAlignment="1">
      <alignment/>
    </xf>
    <xf numFmtId="10" fontId="67" fillId="0" borderId="0" xfId="126" applyNumberFormat="1" applyFont="1" applyFill="1" applyBorder="1" applyAlignment="1">
      <alignment/>
    </xf>
    <xf numFmtId="188" fontId="0" fillId="0" borderId="0" xfId="126" applyNumberFormat="1" applyFont="1" applyFill="1" applyAlignment="1">
      <alignment/>
    </xf>
    <xf numFmtId="173" fontId="18" fillId="4" borderId="0" xfId="73" applyNumberFormat="1" applyFont="1" applyFill="1" applyAlignment="1">
      <alignment/>
    </xf>
    <xf numFmtId="41" fontId="67" fillId="0" borderId="27" xfId="120" applyNumberFormat="1" applyFont="1" applyFill="1" applyBorder="1">
      <alignment/>
      <protection/>
    </xf>
    <xf numFmtId="172" fontId="72" fillId="0" borderId="0" xfId="119"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0" fontId="86" fillId="0" borderId="0" xfId="119" applyNumberFormat="1" applyFont="1" applyAlignment="1" applyProtection="1">
      <alignment horizontal="center"/>
      <protection locked="0"/>
    </xf>
    <xf numFmtId="0" fontId="87" fillId="0" borderId="0" xfId="115" applyFont="1" applyFill="1" applyAlignment="1">
      <alignment horizontal="center"/>
      <protection/>
    </xf>
    <xf numFmtId="173" fontId="0" fillId="0" borderId="0" xfId="120" applyNumberFormat="1" applyFont="1">
      <alignment/>
      <protection/>
    </xf>
    <xf numFmtId="164" fontId="67" fillId="0" borderId="0" xfId="126" applyNumberFormat="1" applyFont="1" applyFill="1" applyAlignment="1">
      <alignment/>
    </xf>
    <xf numFmtId="0" fontId="3" fillId="0" borderId="0" xfId="120" applyFont="1">
      <alignment/>
      <protection/>
    </xf>
    <xf numFmtId="173" fontId="3" fillId="0" borderId="0" xfId="120" applyNumberFormat="1" applyFont="1">
      <alignment/>
      <protection/>
    </xf>
    <xf numFmtId="43" fontId="3" fillId="0" borderId="0" xfId="126" applyNumberFormat="1" applyFont="1" applyFill="1" applyAlignment="1" applyProtection="1">
      <alignment/>
      <protection locked="0"/>
    </xf>
    <xf numFmtId="41" fontId="0" fillId="0" borderId="0" xfId="0" applyNumberFormat="1" applyAlignment="1">
      <alignment/>
    </xf>
    <xf numFmtId="164" fontId="0" fillId="0" borderId="0" xfId="126"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90" fillId="0" borderId="0" xfId="120"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1" fillId="0" borderId="0" xfId="115" applyFont="1" applyFill="1">
      <alignment/>
      <protection/>
    </xf>
    <xf numFmtId="3" fontId="0" fillId="0" borderId="0" xfId="119" applyNumberFormat="1" applyFont="1" applyFill="1" applyAlignment="1" applyProtection="1">
      <alignment/>
      <protection locked="0"/>
    </xf>
    <xf numFmtId="0" fontId="9" fillId="0" borderId="0" xfId="115"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9" applyNumberFormat="1" applyFont="1" applyFill="1" applyAlignment="1" applyProtection="1">
      <alignment/>
      <protection locked="0"/>
    </xf>
    <xf numFmtId="0" fontId="9" fillId="0" borderId="0" xfId="119" applyNumberFormat="1" applyFont="1" applyFill="1" applyBorder="1" applyAlignment="1" applyProtection="1">
      <alignment/>
      <protection locked="0"/>
    </xf>
    <xf numFmtId="3" fontId="9" fillId="0" borderId="0" xfId="119" applyNumberFormat="1" applyFont="1" applyFill="1" applyAlignment="1" applyProtection="1">
      <alignment/>
      <protection locked="0"/>
    </xf>
    <xf numFmtId="41" fontId="9" fillId="0" borderId="0" xfId="119" applyNumberFormat="1" applyFont="1" applyFill="1" applyAlignment="1" applyProtection="1">
      <alignment/>
      <protection locked="0"/>
    </xf>
    <xf numFmtId="0" fontId="0" fillId="0" borderId="0" xfId="115" applyFont="1" applyFill="1" applyAlignment="1">
      <alignment horizontal="left"/>
      <protection/>
    </xf>
    <xf numFmtId="0" fontId="9" fillId="0" borderId="0" xfId="115" applyFont="1" applyFill="1" applyAlignment="1">
      <alignment horizontal="left"/>
      <protection/>
    </xf>
    <xf numFmtId="41" fontId="9" fillId="0" borderId="0" xfId="0" applyNumberFormat="1" applyFont="1" applyFill="1" applyAlignment="1">
      <alignment/>
    </xf>
    <xf numFmtId="10" fontId="0" fillId="0" borderId="0" xfId="126" applyNumberFormat="1" applyFont="1" applyFill="1" applyBorder="1" applyAlignment="1">
      <alignment/>
    </xf>
    <xf numFmtId="10" fontId="9" fillId="0" borderId="0" xfId="126" applyNumberFormat="1" applyFont="1" applyFill="1" applyBorder="1" applyAlignment="1">
      <alignment/>
    </xf>
    <xf numFmtId="173" fontId="9" fillId="0" borderId="0" xfId="126" applyNumberFormat="1" applyFont="1" applyFill="1" applyBorder="1" applyAlignment="1">
      <alignment/>
    </xf>
    <xf numFmtId="173" fontId="0" fillId="0" borderId="0" xfId="126" applyNumberFormat="1" applyFont="1" applyFill="1" applyBorder="1" applyAlignment="1">
      <alignment/>
    </xf>
    <xf numFmtId="10" fontId="9" fillId="0" borderId="27" xfId="126"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1" fillId="0" borderId="0" xfId="115" applyFont="1" applyFill="1" applyAlignment="1">
      <alignment horizontal="left"/>
      <protection/>
    </xf>
    <xf numFmtId="0" fontId="16" fillId="0" borderId="0" xfId="115" applyFont="1" applyFill="1" applyAlignment="1">
      <alignment horizontal="center" wrapText="1"/>
      <protection/>
    </xf>
    <xf numFmtId="10" fontId="8" fillId="4" borderId="0" xfId="126" applyNumberFormat="1" applyFont="1" applyFill="1" applyAlignment="1">
      <alignment horizontal="right" wrapText="1"/>
    </xf>
    <xf numFmtId="44" fontId="8" fillId="4" borderId="0" xfId="83" applyFont="1" applyFill="1" applyAlignment="1">
      <alignment horizontal="right" wrapText="1"/>
    </xf>
    <xf numFmtId="41" fontId="8" fillId="0" borderId="0" xfId="115" applyNumberFormat="1" applyFont="1" applyFill="1" applyBorder="1">
      <alignment/>
      <protection/>
    </xf>
    <xf numFmtId="44" fontId="8" fillId="4" borderId="0" xfId="83" applyFont="1" applyFill="1" applyAlignment="1">
      <alignment/>
    </xf>
    <xf numFmtId="41" fontId="92" fillId="0" borderId="0" xfId="115" applyNumberFormat="1" applyFont="1" applyFill="1">
      <alignment/>
      <protection/>
    </xf>
    <xf numFmtId="41" fontId="0" fillId="0" borderId="12" xfId="115" applyNumberFormat="1" applyFont="1" applyFill="1" applyBorder="1">
      <alignment/>
      <protection/>
    </xf>
    <xf numFmtId="41" fontId="9" fillId="0" borderId="28" xfId="115" applyNumberFormat="1" applyFont="1" applyFill="1" applyBorder="1">
      <alignment/>
      <protection/>
    </xf>
    <xf numFmtId="10" fontId="0" fillId="0" borderId="0" xfId="126" applyNumberFormat="1" applyFont="1" applyFill="1" applyBorder="1" applyAlignment="1">
      <alignment/>
    </xf>
    <xf numFmtId="0" fontId="9" fillId="0" borderId="0" xfId="119" applyNumberFormat="1" applyFont="1" applyFill="1" applyBorder="1" applyAlignment="1" applyProtection="1">
      <alignment vertical="center"/>
      <protection locked="0"/>
    </xf>
    <xf numFmtId="0" fontId="21" fillId="0" borderId="0" xfId="115" applyFont="1" applyFill="1" applyAlignment="1">
      <alignment horizontal="center"/>
      <protection/>
    </xf>
    <xf numFmtId="10" fontId="0" fillId="0" borderId="0" xfId="126"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9" applyNumberFormat="1" applyFont="1" applyFill="1" applyBorder="1" applyAlignment="1">
      <alignment horizontal="right"/>
      <protection/>
    </xf>
    <xf numFmtId="37" fontId="8" fillId="0" borderId="0" xfId="109" applyNumberFormat="1" applyFont="1" applyFill="1" applyBorder="1" applyAlignment="1">
      <alignment/>
      <protection/>
    </xf>
    <xf numFmtId="0" fontId="94" fillId="0" borderId="0" xfId="115" applyFont="1" applyFill="1" applyBorder="1">
      <alignment/>
      <protection/>
    </xf>
    <xf numFmtId="0" fontId="4" fillId="0" borderId="0" xfId="115" applyFont="1" applyFill="1" applyBorder="1">
      <alignment/>
      <protection/>
    </xf>
    <xf numFmtId="0" fontId="0" fillId="0" borderId="30" xfId="0" applyBorder="1" applyAlignment="1">
      <alignment/>
    </xf>
    <xf numFmtId="164" fontId="3" fillId="0" borderId="0" xfId="119" applyNumberFormat="1" applyFont="1" applyFill="1" applyBorder="1" applyAlignment="1" applyProtection="1">
      <alignment horizontal="left" vertical="center"/>
      <protection locked="0"/>
    </xf>
    <xf numFmtId="41" fontId="95" fillId="0" borderId="0" xfId="119"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9" applyNumberFormat="1" applyFont="1" applyFill="1" applyAlignment="1" applyProtection="1">
      <alignment horizontal="right"/>
      <protection locked="0"/>
    </xf>
    <xf numFmtId="3" fontId="3" fillId="0" borderId="0" xfId="119" applyNumberFormat="1" applyFont="1" applyAlignment="1" applyProtection="1">
      <alignment horizontal="center" vertical="center"/>
      <protection locked="0"/>
    </xf>
    <xf numFmtId="167" fontId="3" fillId="0" borderId="0" xfId="119" applyNumberFormat="1" applyFont="1" applyFill="1" applyAlignment="1" applyProtection="1">
      <alignment/>
      <protection locked="0"/>
    </xf>
    <xf numFmtId="166" fontId="3" fillId="0" borderId="0" xfId="119" applyNumberFormat="1" applyFont="1" applyAlignment="1" applyProtection="1">
      <alignment horizontal="center"/>
      <protection locked="0"/>
    </xf>
    <xf numFmtId="190" fontId="3" fillId="0" borderId="0" xfId="119" applyNumberFormat="1" applyFont="1" applyAlignment="1" applyProtection="1">
      <alignment horizontal="center"/>
      <protection locked="0"/>
    </xf>
    <xf numFmtId="191" fontId="3" fillId="0" borderId="0" xfId="119"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19" applyNumberFormat="1" applyFont="1" applyAlignment="1" applyProtection="1">
      <alignment horizontal="center"/>
      <protection locked="0"/>
    </xf>
    <xf numFmtId="179" fontId="3" fillId="0" borderId="0" xfId="119"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26" applyNumberFormat="1" applyFont="1" applyAlignment="1">
      <alignment/>
    </xf>
    <xf numFmtId="3" fontId="95" fillId="0" borderId="0" xfId="0" applyNumberFormat="1" applyFont="1" applyAlignment="1">
      <alignment horizontal="center"/>
    </xf>
    <xf numFmtId="172" fontId="95" fillId="0" borderId="0" xfId="119"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6" applyFont="1" applyAlignment="1">
      <alignment/>
    </xf>
    <xf numFmtId="0" fontId="9" fillId="0" borderId="0" xfId="0" applyFont="1" applyAlignment="1">
      <alignment horizontal="center" wrapText="1"/>
    </xf>
    <xf numFmtId="0" fontId="17" fillId="0" borderId="0" xfId="117"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9" applyNumberFormat="1" applyFont="1" applyAlignment="1" applyProtection="1">
      <alignment/>
      <protection locked="0"/>
    </xf>
    <xf numFmtId="169" fontId="21" fillId="0" borderId="0" xfId="119" applyNumberFormat="1" applyFont="1" applyFill="1" applyAlignment="1" applyProtection="1">
      <alignment/>
      <protection locked="0"/>
    </xf>
    <xf numFmtId="172" fontId="21" fillId="0" borderId="0" xfId="119" applyFont="1" applyFill="1" applyAlignment="1" applyProtection="1">
      <alignment/>
      <protection locked="0"/>
    </xf>
    <xf numFmtId="182" fontId="20" fillId="0" borderId="0" xfId="73" applyNumberFormat="1" applyFont="1" applyFill="1" applyAlignment="1">
      <alignment/>
    </xf>
    <xf numFmtId="0" fontId="21" fillId="0" borderId="0" xfId="119" applyNumberFormat="1" applyFont="1" applyFill="1" applyAlignment="1" applyProtection="1">
      <alignment horizontal="center"/>
      <protection locked="0"/>
    </xf>
    <xf numFmtId="0" fontId="0" fillId="0" borderId="0" xfId="115" applyFont="1" applyFill="1" applyAlignment="1">
      <alignment horizontal="left"/>
      <protection/>
    </xf>
    <xf numFmtId="0" fontId="0" fillId="0" borderId="0" xfId="115" applyFont="1" applyFill="1">
      <alignment/>
      <protection/>
    </xf>
    <xf numFmtId="0" fontId="97" fillId="0" borderId="0" xfId="115" applyFont="1" applyFill="1" applyAlignment="1">
      <alignment horizontal="center"/>
      <protection/>
    </xf>
    <xf numFmtId="0" fontId="98" fillId="0" borderId="0" xfId="115" applyFont="1" applyFill="1" applyBorder="1">
      <alignment/>
      <protection/>
    </xf>
    <xf numFmtId="193" fontId="99" fillId="0" borderId="0" xfId="109" applyNumberFormat="1" applyFont="1" applyFill="1" applyBorder="1" applyAlignment="1">
      <alignment horizontal="center"/>
      <protection/>
    </xf>
    <xf numFmtId="14" fontId="99" fillId="0" borderId="0" xfId="109" applyNumberFormat="1" applyFont="1" applyFill="1" applyBorder="1" applyAlignment="1">
      <alignment horizontal="center" wrapText="1"/>
      <protection/>
    </xf>
    <xf numFmtId="38" fontId="0" fillId="0" borderId="0" xfId="0" applyNumberFormat="1" applyBorder="1" applyAlignment="1">
      <alignment/>
    </xf>
    <xf numFmtId="0" fontId="0" fillId="0" borderId="0" xfId="115" applyFont="1" applyFill="1" applyAlignment="1">
      <alignment horizontal="center"/>
      <protection/>
    </xf>
    <xf numFmtId="172" fontId="85" fillId="0" borderId="0" xfId="119" applyFont="1" applyAlignment="1">
      <alignment horizontal="center"/>
    </xf>
    <xf numFmtId="0" fontId="0" fillId="0" borderId="0" xfId="0" applyFont="1" applyAlignment="1">
      <alignment/>
    </xf>
    <xf numFmtId="172" fontId="0" fillId="0" borderId="18" xfId="119" applyFont="1" applyBorder="1" applyAlignment="1" applyProtection="1">
      <alignment/>
      <protection locked="0"/>
    </xf>
    <xf numFmtId="0" fontId="0" fillId="0" borderId="0" xfId="119" applyNumberFormat="1" applyFont="1" applyBorder="1" applyAlignment="1" applyProtection="1">
      <alignment horizontal="center"/>
      <protection locked="0"/>
    </xf>
    <xf numFmtId="172" fontId="0" fillId="0" borderId="0"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9" applyNumberFormat="1" applyFont="1" applyBorder="1" applyAlignment="1" applyProtection="1">
      <alignment/>
      <protection locked="0"/>
    </xf>
    <xf numFmtId="41" fontId="0" fillId="0" borderId="0" xfId="119" applyNumberFormat="1" applyFont="1" applyFill="1" applyBorder="1" applyAlignment="1" applyProtection="1">
      <alignment horizontal="right"/>
      <protection locked="0"/>
    </xf>
    <xf numFmtId="3" fontId="9" fillId="0" borderId="0" xfId="119" applyNumberFormat="1" applyFont="1" applyAlignment="1" applyProtection="1">
      <alignment/>
      <protection locked="0"/>
    </xf>
    <xf numFmtId="172" fontId="0" fillId="0" borderId="29" xfId="119" applyFont="1" applyBorder="1" applyAlignment="1" applyProtection="1">
      <alignment/>
      <protection locked="0"/>
    </xf>
    <xf numFmtId="172" fontId="0" fillId="0" borderId="18" xfId="119" applyFont="1" applyBorder="1" applyAlignment="1" applyProtection="1">
      <alignment/>
      <protection locked="0"/>
    </xf>
    <xf numFmtId="3" fontId="0" fillId="0" borderId="19" xfId="119" applyNumberFormat="1" applyFont="1" applyBorder="1" applyAlignment="1" applyProtection="1">
      <alignment/>
      <protection locked="0"/>
    </xf>
    <xf numFmtId="0" fontId="0" fillId="0" borderId="0" xfId="119"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9" applyNumberFormat="1" applyFont="1" applyBorder="1" applyAlignment="1" applyProtection="1">
      <alignment horizontal="center"/>
      <protection locked="0"/>
    </xf>
    <xf numFmtId="0" fontId="0" fillId="0" borderId="6" xfId="119" applyNumberFormat="1" applyFont="1" applyBorder="1" applyAlignment="1" applyProtection="1">
      <alignment horizontal="center"/>
      <protection locked="0"/>
    </xf>
    <xf numFmtId="173" fontId="0" fillId="0" borderId="6" xfId="119"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169" fontId="0" fillId="0" borderId="0" xfId="0" applyNumberFormat="1" applyAlignment="1">
      <alignment/>
    </xf>
    <xf numFmtId="188" fontId="3" fillId="0" borderId="0" xfId="126" applyNumberFormat="1" applyFont="1" applyFill="1" applyAlignment="1">
      <alignment/>
    </xf>
    <xf numFmtId="195" fontId="3" fillId="0" borderId="0" xfId="119" applyNumberFormat="1" applyFont="1" applyProtection="1">
      <alignment/>
      <protection locked="0"/>
    </xf>
    <xf numFmtId="196" fontId="0" fillId="0" borderId="0" xfId="0" applyNumberFormat="1" applyFont="1" applyAlignment="1">
      <alignment/>
    </xf>
    <xf numFmtId="3" fontId="12" fillId="0" borderId="0" xfId="109"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0" applyNumberFormat="1" applyFont="1" applyFill="1" applyBorder="1">
      <alignment/>
      <protection/>
    </xf>
    <xf numFmtId="173" fontId="73" fillId="4" borderId="0" xfId="120" applyNumberFormat="1" applyFont="1" applyFill="1">
      <alignment/>
      <protection/>
    </xf>
    <xf numFmtId="0" fontId="100" fillId="0" borderId="0" xfId="120" applyFont="1" applyFill="1">
      <alignment/>
      <protection/>
    </xf>
    <xf numFmtId="41" fontId="100" fillId="0" borderId="0" xfId="120" applyNumberFormat="1" applyFont="1" applyFill="1">
      <alignment/>
      <protection/>
    </xf>
    <xf numFmtId="41" fontId="100" fillId="0" borderId="0" xfId="120"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15"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9" applyNumberFormat="1" applyFont="1" applyFill="1" applyBorder="1" applyAlignment="1" applyProtection="1">
      <alignment vertical="top"/>
      <protection locked="0"/>
    </xf>
    <xf numFmtId="0" fontId="9" fillId="0" borderId="0" xfId="115" applyFont="1" applyFill="1" applyAlignment="1">
      <alignment horizontal="center" wrapText="1"/>
      <protection/>
    </xf>
    <xf numFmtId="41" fontId="9" fillId="0" borderId="0" xfId="115" applyNumberFormat="1" applyFont="1" applyFill="1" applyBorder="1" applyAlignment="1">
      <alignment horizontal="center" wrapText="1"/>
      <protection/>
    </xf>
    <xf numFmtId="37" fontId="8" fillId="4" borderId="0" xfId="115" applyNumberFormat="1" applyFont="1" applyFill="1">
      <alignment/>
      <protection/>
    </xf>
    <xf numFmtId="173" fontId="8" fillId="4" borderId="0" xfId="115" applyNumberFormat="1" applyFont="1" applyFill="1">
      <alignment/>
      <protection/>
    </xf>
    <xf numFmtId="0" fontId="14" fillId="0" borderId="11" xfId="115" applyFont="1" applyFill="1" applyBorder="1">
      <alignment/>
      <protection/>
    </xf>
    <xf numFmtId="0" fontId="0" fillId="0" borderId="0" xfId="0" applyFont="1" applyAlignment="1">
      <alignment vertical="top" wrapText="1"/>
    </xf>
    <xf numFmtId="0" fontId="0" fillId="0" borderId="0" xfId="115"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9" applyNumberFormat="1" applyFont="1" applyFill="1" applyProtection="1">
      <alignment/>
      <protection locked="0"/>
    </xf>
    <xf numFmtId="10" fontId="3" fillId="0" borderId="0" xfId="119"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9"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9" applyNumberFormat="1" applyFont="1" applyFill="1" applyAlignment="1" applyProtection="1">
      <alignment/>
      <protection locked="0"/>
    </xf>
    <xf numFmtId="10" fontId="3" fillId="0" borderId="0" xfId="126" applyNumberFormat="1" applyFont="1" applyAlignment="1">
      <alignment/>
    </xf>
    <xf numFmtId="169" fontId="3" fillId="0" borderId="0" xfId="119" applyNumberFormat="1" applyFont="1" applyFill="1" applyAlignment="1" applyProtection="1">
      <alignment/>
      <protection locked="0"/>
    </xf>
    <xf numFmtId="187" fontId="3" fillId="0" borderId="0" xfId="73" applyNumberFormat="1" applyFont="1" applyFill="1" applyAlignment="1" applyProtection="1">
      <alignment/>
      <protection locked="0"/>
    </xf>
    <xf numFmtId="169" fontId="3" fillId="0" borderId="16" xfId="119" applyNumberFormat="1" applyFont="1" applyFill="1" applyBorder="1" applyAlignment="1" applyProtection="1">
      <alignment/>
      <protection locked="0"/>
    </xf>
    <xf numFmtId="169" fontId="3" fillId="0" borderId="0" xfId="119" applyNumberFormat="1" applyFont="1" applyFill="1" applyBorder="1" applyAlignment="1" applyProtection="1">
      <alignment/>
      <protection locked="0"/>
    </xf>
    <xf numFmtId="169" fontId="3" fillId="0" borderId="6" xfId="119"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9" applyNumberFormat="1" applyFont="1" applyFill="1" applyAlignment="1" applyProtection="1">
      <alignment/>
      <protection locked="0"/>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9" applyFont="1" applyFill="1" applyBorder="1">
      <alignment/>
      <protection/>
    </xf>
    <xf numFmtId="41" fontId="67" fillId="4" borderId="11" xfId="120" applyNumberFormat="1" applyFont="1" applyFill="1" applyBorder="1">
      <alignment/>
      <protection/>
    </xf>
    <xf numFmtId="174" fontId="8" fillId="4" borderId="0" xfId="83" applyNumberFormat="1" applyFont="1" applyFill="1" applyAlignment="1">
      <alignment/>
    </xf>
    <xf numFmtId="0" fontId="0" fillId="0" borderId="11" xfId="0" applyFont="1" applyBorder="1" applyAlignment="1">
      <alignment/>
    </xf>
    <xf numFmtId="173" fontId="0" fillId="0" borderId="0" xfId="126" applyNumberFormat="1" applyFont="1" applyFill="1" applyBorder="1" applyAlignment="1">
      <alignment/>
    </xf>
    <xf numFmtId="10"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15" applyFont="1" applyFill="1" applyAlignment="1">
      <alignment horizontal="left"/>
      <protection/>
    </xf>
    <xf numFmtId="10" fontId="0" fillId="0" borderId="0" xfId="126" applyNumberFormat="1" applyFont="1" applyFill="1" applyBorder="1" applyAlignment="1">
      <alignment/>
    </xf>
    <xf numFmtId="0" fontId="0" fillId="0" borderId="0" xfId="115" applyFont="1" applyFill="1">
      <alignment/>
      <protection/>
    </xf>
    <xf numFmtId="173" fontId="9" fillId="0" borderId="27" xfId="73" applyNumberFormat="1" applyFont="1" applyFill="1" applyBorder="1" applyAlignment="1">
      <alignment/>
    </xf>
    <xf numFmtId="0" fontId="0" fillId="0" borderId="0" xfId="115" applyFont="1" applyFill="1" applyAlignment="1">
      <alignment horizontal="left"/>
      <protection/>
    </xf>
    <xf numFmtId="0" fontId="0" fillId="0" borderId="0" xfId="119"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6"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15"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15" applyFont="1" applyFill="1">
      <alignment/>
      <protection/>
    </xf>
    <xf numFmtId="173" fontId="82" fillId="4" borderId="0" xfId="115" applyNumberFormat="1" applyFont="1" applyFill="1">
      <alignment/>
      <protection/>
    </xf>
    <xf numFmtId="37" fontId="82" fillId="4" borderId="0" xfId="115" applyNumberFormat="1" applyFont="1" applyFill="1">
      <alignment/>
      <protection/>
    </xf>
    <xf numFmtId="3" fontId="3" fillId="0" borderId="0" xfId="73" applyNumberFormat="1" applyFont="1" applyFill="1" applyAlignment="1" applyProtection="1">
      <alignment/>
      <protection locked="0"/>
    </xf>
    <xf numFmtId="37" fontId="3" fillId="0" borderId="0" xfId="119" applyNumberFormat="1" applyFont="1" applyFill="1" applyAlignment="1" applyProtection="1">
      <alignment/>
      <protection locked="0"/>
    </xf>
    <xf numFmtId="37" fontId="3" fillId="0" borderId="6" xfId="119" applyNumberFormat="1" applyFont="1" applyFill="1" applyBorder="1" applyAlignment="1" applyProtection="1">
      <alignment/>
      <protection locked="0"/>
    </xf>
    <xf numFmtId="37" fontId="3" fillId="0" borderId="0" xfId="119" applyNumberFormat="1" applyFont="1" applyFill="1" applyAlignment="1" applyProtection="1">
      <alignment vertical="center"/>
      <protection locked="0"/>
    </xf>
    <xf numFmtId="3" fontId="18" fillId="4" borderId="0" xfId="73" applyNumberFormat="1" applyFont="1" applyFill="1" applyAlignment="1" applyProtection="1">
      <alignment horizontal="right"/>
      <protection locked="0"/>
    </xf>
    <xf numFmtId="3" fontId="73" fillId="4" borderId="0" xfId="120" applyNumberFormat="1" applyFont="1" applyFill="1" applyBorder="1">
      <alignment/>
      <protection/>
    </xf>
    <xf numFmtId="173" fontId="67" fillId="0" borderId="2" xfId="73" applyNumberFormat="1" applyFont="1" applyFill="1" applyBorder="1" applyAlignment="1">
      <alignment/>
    </xf>
    <xf numFmtId="41" fontId="67" fillId="0" borderId="20" xfId="120" applyNumberFormat="1" applyFont="1" applyFill="1" applyBorder="1">
      <alignment/>
      <protection/>
    </xf>
    <xf numFmtId="0" fontId="17" fillId="0" borderId="0" xfId="120" applyNumberFormat="1" applyFont="1" applyFill="1" applyBorder="1" applyAlignment="1">
      <alignment horizontal="center"/>
      <protection/>
    </xf>
    <xf numFmtId="0" fontId="0" fillId="0" borderId="0" xfId="120" applyNumberFormat="1" applyFont="1" applyFill="1" applyBorder="1">
      <alignment/>
      <protection/>
    </xf>
    <xf numFmtId="0" fontId="70" fillId="0" borderId="0" xfId="120" applyFont="1" applyFill="1" applyBorder="1">
      <alignment/>
      <protection/>
    </xf>
    <xf numFmtId="0" fontId="67" fillId="0" borderId="0" xfId="120" applyFont="1" applyFill="1" applyBorder="1">
      <alignment/>
      <protection/>
    </xf>
    <xf numFmtId="6" fontId="0" fillId="0" borderId="11" xfId="0" applyNumberFormat="1" applyFont="1" applyBorder="1" applyAlignment="1">
      <alignment horizontal="right"/>
    </xf>
    <xf numFmtId="3" fontId="8" fillId="4" borderId="11" xfId="119" applyNumberFormat="1" applyFont="1" applyFill="1" applyBorder="1" applyAlignment="1" applyProtection="1">
      <alignment/>
      <protection locked="0"/>
    </xf>
    <xf numFmtId="3" fontId="8" fillId="4" borderId="6" xfId="119" applyNumberFormat="1" applyFont="1" applyFill="1" applyBorder="1" applyAlignment="1" applyProtection="1">
      <alignment/>
      <protection locked="0"/>
    </xf>
    <xf numFmtId="3" fontId="8" fillId="0" borderId="0" xfId="119" applyNumberFormat="1" applyFont="1" applyFill="1" applyAlignment="1" applyProtection="1">
      <alignment/>
      <protection locked="0"/>
    </xf>
    <xf numFmtId="3" fontId="8" fillId="0" borderId="6" xfId="119" applyNumberFormat="1" applyFont="1" applyFill="1" applyBorder="1" applyAlignment="1" applyProtection="1">
      <alignment/>
      <protection locked="0"/>
    </xf>
    <xf numFmtId="3" fontId="8" fillId="0" borderId="11" xfId="119" applyNumberFormat="1" applyFont="1" applyFill="1" applyBorder="1" applyAlignment="1" applyProtection="1">
      <alignment/>
      <protection locked="0"/>
    </xf>
    <xf numFmtId="0" fontId="3" fillId="0" borderId="0" xfId="0" applyFont="1" applyAlignment="1">
      <alignment horizontal="left"/>
    </xf>
    <xf numFmtId="0" fontId="3" fillId="0" borderId="0" xfId="109" applyFont="1" applyBorder="1" applyAlignment="1">
      <alignment horizontal="left"/>
      <protection/>
    </xf>
    <xf numFmtId="0" fontId="3" fillId="0" borderId="0" xfId="109"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26" applyNumberFormat="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7" fontId="20" fillId="0" borderId="0" xfId="73" applyNumberFormat="1" applyFont="1" applyAlignment="1">
      <alignment horizontal="center"/>
    </xf>
    <xf numFmtId="41" fontId="0" fillId="0" borderId="14" xfId="0" applyNumberFormat="1" applyFont="1" applyBorder="1" applyAlignment="1">
      <alignment/>
    </xf>
    <xf numFmtId="43" fontId="63" fillId="0" borderId="0" xfId="0" applyNumberFormat="1" applyFont="1" applyAlignment="1">
      <alignment/>
    </xf>
    <xf numFmtId="173" fontId="0" fillId="0" borderId="0" xfId="0" applyNumberFormat="1" applyFont="1" applyAlignment="1">
      <alignment wrapText="1"/>
    </xf>
    <xf numFmtId="41" fontId="20" fillId="0" borderId="0" xfId="0" applyNumberFormat="1" applyFont="1" applyAlignment="1">
      <alignment/>
    </xf>
    <xf numFmtId="41" fontId="0" fillId="0" borderId="0" xfId="126" applyNumberFormat="1" applyFont="1" applyFill="1" applyBorder="1" applyAlignment="1">
      <alignment/>
    </xf>
    <xf numFmtId="187" fontId="0" fillId="0" borderId="0" xfId="73" applyNumberFormat="1" applyFont="1" applyFill="1" applyBorder="1" applyAlignment="1">
      <alignment/>
    </xf>
    <xf numFmtId="173" fontId="0" fillId="0" borderId="0" xfId="73" applyNumberFormat="1" applyFont="1" applyFill="1" applyBorder="1" applyAlignment="1">
      <alignment/>
    </xf>
    <xf numFmtId="0" fontId="86" fillId="0" borderId="0" xfId="119" applyNumberFormat="1" applyFont="1" applyFill="1" applyAlignment="1" applyProtection="1">
      <alignment horizontal="center"/>
      <protection locked="0"/>
    </xf>
    <xf numFmtId="0" fontId="85" fillId="0" borderId="0" xfId="119" applyNumberFormat="1" applyFont="1" applyFill="1" applyAlignment="1" applyProtection="1">
      <alignment horizontal="center"/>
      <protection locked="0"/>
    </xf>
    <xf numFmtId="0" fontId="0" fillId="0" borderId="0" xfId="0" applyFont="1" applyAlignment="1">
      <alignment horizontal="left"/>
    </xf>
    <xf numFmtId="0" fontId="9" fillId="0" borderId="0" xfId="123" applyFont="1" applyFill="1" applyAlignment="1">
      <alignment horizontal="center"/>
      <protection/>
    </xf>
    <xf numFmtId="0" fontId="9" fillId="0" borderId="0" xfId="123" applyFont="1" applyFill="1">
      <alignment/>
      <protection/>
    </xf>
    <xf numFmtId="0" fontId="9" fillId="0" borderId="0" xfId="123" applyFont="1">
      <alignment/>
      <protection/>
    </xf>
    <xf numFmtId="0" fontId="0" fillId="0" borderId="0" xfId="123" applyFont="1">
      <alignment/>
      <protection/>
    </xf>
    <xf numFmtId="0" fontId="21" fillId="0" borderId="0" xfId="123" applyFont="1">
      <alignment/>
      <protection/>
    </xf>
    <xf numFmtId="173" fontId="8" fillId="4" borderId="0" xfId="81" applyNumberFormat="1" applyFont="1" applyFill="1" applyAlignment="1">
      <alignment/>
    </xf>
    <xf numFmtId="173" fontId="0" fillId="0" borderId="0" xfId="123" applyNumberFormat="1" applyFont="1" applyFill="1">
      <alignment/>
      <protection/>
    </xf>
    <xf numFmtId="173" fontId="8" fillId="4" borderId="0" xfId="123" applyNumberFormat="1" applyFont="1" applyFill="1">
      <alignment/>
      <protection/>
    </xf>
    <xf numFmtId="172" fontId="0" fillId="0" borderId="0" xfId="123" applyNumberFormat="1" applyFont="1" applyFill="1" applyAlignment="1">
      <alignment horizontal="center"/>
      <protection/>
    </xf>
    <xf numFmtId="0" fontId="0" fillId="0" borderId="0" xfId="123" applyFont="1" applyFill="1">
      <alignment/>
      <protection/>
    </xf>
    <xf numFmtId="43" fontId="0" fillId="0" borderId="0" xfId="81" applyFont="1" applyFill="1" applyAlignment="1">
      <alignment/>
    </xf>
    <xf numFmtId="173" fontId="0" fillId="0" borderId="0" xfId="123" applyNumberFormat="1" applyFont="1">
      <alignment/>
      <protection/>
    </xf>
    <xf numFmtId="173" fontId="0" fillId="0" borderId="0" xfId="123" applyNumberFormat="1" applyFont="1" applyBorder="1">
      <alignment/>
      <protection/>
    </xf>
    <xf numFmtId="173" fontId="0" fillId="0" borderId="15" xfId="123" applyNumberFormat="1" applyFont="1" applyBorder="1">
      <alignment/>
      <protection/>
    </xf>
    <xf numFmtId="0" fontId="106" fillId="0" borderId="0" xfId="0" applyFont="1" applyAlignment="1">
      <alignment/>
    </xf>
    <xf numFmtId="0" fontId="106" fillId="0" borderId="0" xfId="123" applyFont="1">
      <alignment/>
      <protection/>
    </xf>
    <xf numFmtId="0" fontId="3" fillId="0" borderId="0" xfId="107" applyFont="1" applyAlignment="1">
      <alignment horizontal="center"/>
      <protection/>
    </xf>
    <xf numFmtId="0" fontId="4" fillId="0" borderId="0" xfId="116" applyFont="1" applyFill="1" applyAlignment="1">
      <alignment horizontal="center"/>
      <protection/>
    </xf>
    <xf numFmtId="0" fontId="0" fillId="0" borderId="0" xfId="107">
      <alignment/>
      <protection/>
    </xf>
    <xf numFmtId="0" fontId="2" fillId="0" borderId="11" xfId="120" applyNumberFormat="1" applyFont="1" applyBorder="1">
      <alignment/>
      <protection/>
    </xf>
    <xf numFmtId="0" fontId="67" fillId="0" borderId="0" xfId="120" applyFont="1" applyAlignment="1">
      <alignment horizontal="right"/>
      <protection/>
    </xf>
    <xf numFmtId="0" fontId="17" fillId="0" borderId="0" xfId="118" applyFont="1" applyFill="1" applyAlignment="1">
      <alignment horizontal="center"/>
      <protection/>
    </xf>
    <xf numFmtId="0" fontId="17" fillId="0" borderId="0" xfId="118" applyFont="1" applyFill="1" applyAlignment="1">
      <alignment horizontal="left" indent="2"/>
      <protection/>
    </xf>
    <xf numFmtId="39" fontId="17" fillId="0" borderId="0" xfId="118" applyNumberFormat="1" applyFont="1" applyFill="1">
      <alignment/>
      <protection/>
    </xf>
    <xf numFmtId="173" fontId="73" fillId="0" borderId="0" xfId="120" applyNumberFormat="1" applyFont="1" applyFill="1">
      <alignment/>
      <protection/>
    </xf>
    <xf numFmtId="0" fontId="67" fillId="0" borderId="0" xfId="107" applyFont="1">
      <alignment/>
      <protection/>
    </xf>
    <xf numFmtId="0" fontId="0" fillId="0" borderId="0" xfId="107" applyFont="1">
      <alignment/>
      <protection/>
    </xf>
    <xf numFmtId="173" fontId="67" fillId="0" borderId="14" xfId="75" applyNumberFormat="1" applyFont="1" applyBorder="1" applyAlignment="1">
      <alignment/>
    </xf>
    <xf numFmtId="173" fontId="67" fillId="0" borderId="14" xfId="120" applyNumberFormat="1" applyFont="1" applyBorder="1">
      <alignment/>
      <protection/>
    </xf>
    <xf numFmtId="173" fontId="67" fillId="0" borderId="0" xfId="120" applyNumberFormat="1" applyFont="1" applyFill="1" applyBorder="1">
      <alignment/>
      <protection/>
    </xf>
    <xf numFmtId="3" fontId="67" fillId="0" borderId="0" xfId="120" applyNumberFormat="1" applyFont="1" applyFill="1" applyBorder="1">
      <alignment/>
      <protection/>
    </xf>
    <xf numFmtId="0" fontId="16" fillId="0" borderId="0" xfId="116" applyFont="1" applyAlignment="1">
      <alignment horizontal="center"/>
      <protection/>
    </xf>
    <xf numFmtId="41" fontId="0" fillId="0" borderId="0" xfId="126" applyNumberFormat="1" applyFont="1" applyFill="1" applyBorder="1" applyAlignment="1">
      <alignment/>
    </xf>
    <xf numFmtId="188" fontId="18" fillId="4" borderId="0" xfId="126" applyNumberFormat="1" applyFont="1" applyFill="1" applyAlignment="1" applyProtection="1">
      <alignment/>
      <protection locked="0"/>
    </xf>
    <xf numFmtId="3" fontId="4" fillId="0" borderId="0" xfId="119" applyNumberFormat="1" applyFont="1" applyFill="1" applyBorder="1" applyAlignment="1" applyProtection="1">
      <alignment horizontal="right"/>
      <protection locked="0"/>
    </xf>
    <xf numFmtId="186" fontId="0" fillId="0" borderId="0" xfId="0" applyNumberFormat="1" applyFont="1" applyAlignment="1">
      <alignment/>
    </xf>
    <xf numFmtId="41" fontId="18" fillId="4" borderId="0" xfId="116" applyNumberFormat="1" applyFont="1" applyFill="1" applyBorder="1">
      <alignment/>
      <protection/>
    </xf>
    <xf numFmtId="0" fontId="103" fillId="0" borderId="0" xfId="115" applyFont="1" applyFill="1" applyAlignment="1">
      <alignment horizontal="center"/>
      <protection/>
    </xf>
    <xf numFmtId="0" fontId="20" fillId="0" borderId="0" xfId="115" applyFont="1" applyFill="1" applyBorder="1">
      <alignment/>
      <protection/>
    </xf>
    <xf numFmtId="38" fontId="0" fillId="0" borderId="15" xfId="115" applyNumberFormat="1" applyFont="1" applyFill="1" applyBorder="1" applyAlignment="1">
      <alignment horizontal="right"/>
      <protection/>
    </xf>
    <xf numFmtId="0" fontId="0" fillId="0" borderId="0" xfId="115" applyFont="1" applyAlignment="1">
      <alignment horizontal="center"/>
      <protection/>
    </xf>
    <xf numFmtId="0" fontId="20" fillId="0" borderId="0" xfId="115" applyFont="1" applyAlignment="1">
      <alignment horizontal="center"/>
      <protection/>
    </xf>
    <xf numFmtId="186" fontId="0" fillId="0" borderId="0" xfId="120" applyNumberFormat="1" applyFont="1" applyFill="1">
      <alignment/>
      <protection/>
    </xf>
    <xf numFmtId="0" fontId="3" fillId="0" borderId="0" xfId="122" applyFont="1" applyAlignment="1">
      <alignment horizontal="center"/>
      <protection/>
    </xf>
    <xf numFmtId="0" fontId="1" fillId="0" borderId="0" xfId="122">
      <alignment/>
      <protection/>
    </xf>
    <xf numFmtId="0" fontId="109" fillId="0" borderId="0" xfId="122" applyFont="1" applyProtection="1">
      <alignment/>
      <protection locked="0"/>
    </xf>
    <xf numFmtId="0" fontId="110" fillId="0" borderId="0" xfId="122" applyFont="1" applyAlignment="1">
      <alignment horizontal="center"/>
      <protection/>
    </xf>
    <xf numFmtId="0" fontId="111" fillId="0" borderId="0" xfId="122" applyFont="1" applyAlignment="1">
      <alignment horizontal="center"/>
      <protection/>
    </xf>
    <xf numFmtId="0" fontId="112" fillId="0" borderId="0" xfId="122" applyFont="1" applyProtection="1">
      <alignment/>
      <protection locked="0"/>
    </xf>
    <xf numFmtId="10" fontId="1" fillId="0" borderId="0" xfId="122" applyNumberFormat="1" applyAlignment="1" applyProtection="1">
      <alignment horizontal="center"/>
      <protection/>
    </xf>
    <xf numFmtId="0" fontId="113" fillId="0" borderId="32" xfId="122" applyFont="1" applyBorder="1">
      <alignment/>
      <protection/>
    </xf>
    <xf numFmtId="0" fontId="109" fillId="0" borderId="32" xfId="122" applyFont="1" applyBorder="1" applyProtection="1">
      <alignment/>
      <protection locked="0"/>
    </xf>
    <xf numFmtId="10" fontId="1" fillId="0" borderId="32" xfId="122" applyNumberFormat="1" applyBorder="1" applyProtection="1">
      <alignment/>
      <protection/>
    </xf>
    <xf numFmtId="0" fontId="113" fillId="0" borderId="0" xfId="122" applyFont="1" applyBorder="1">
      <alignment/>
      <protection/>
    </xf>
    <xf numFmtId="10" fontId="1" fillId="0" borderId="0" xfId="122" applyNumberFormat="1" applyProtection="1">
      <alignment/>
      <protection/>
    </xf>
    <xf numFmtId="0" fontId="1" fillId="0" borderId="0" xfId="122" applyAlignment="1">
      <alignment horizontal="center"/>
      <protection/>
    </xf>
    <xf numFmtId="198" fontId="1" fillId="0" borderId="0" xfId="122" applyNumberFormat="1" applyProtection="1">
      <alignment/>
      <protection/>
    </xf>
    <xf numFmtId="0" fontId="1" fillId="0" borderId="0" xfId="122" applyFont="1" applyBorder="1">
      <alignment/>
      <protection/>
    </xf>
    <xf numFmtId="10" fontId="1" fillId="0" borderId="0" xfId="122" applyNumberFormat="1" applyAlignment="1" applyProtection="1">
      <alignment horizontal="right"/>
      <protection/>
    </xf>
    <xf numFmtId="0" fontId="72" fillId="0" borderId="0" xfId="122" applyFont="1">
      <alignment/>
      <protection/>
    </xf>
    <xf numFmtId="198" fontId="72" fillId="0" borderId="0" xfId="122" applyNumberFormat="1" applyFont="1" applyProtection="1">
      <alignment/>
      <protection/>
    </xf>
    <xf numFmtId="10" fontId="72" fillId="0" borderId="0" xfId="122" applyNumberFormat="1" applyFont="1" applyProtection="1">
      <alignment/>
      <protection/>
    </xf>
    <xf numFmtId="0" fontId="114" fillId="0" borderId="0" xfId="122" applyFont="1" applyProtection="1">
      <alignment/>
      <protection locked="0"/>
    </xf>
    <xf numFmtId="10" fontId="115" fillId="0" borderId="0" xfId="122" applyNumberFormat="1" applyFont="1" applyProtection="1">
      <alignment/>
      <protection/>
    </xf>
    <xf numFmtId="0" fontId="1" fillId="0" borderId="0" xfId="122" applyAlignment="1">
      <alignment/>
      <protection/>
    </xf>
    <xf numFmtId="0" fontId="116" fillId="0" borderId="0" xfId="122" applyFont="1">
      <alignment/>
      <protection/>
    </xf>
    <xf numFmtId="0" fontId="105" fillId="0" borderId="11" xfId="120" applyNumberFormat="1" applyFont="1" applyBorder="1" applyAlignment="1">
      <alignment horizontal="center"/>
      <protection/>
    </xf>
    <xf numFmtId="0" fontId="81" fillId="0" borderId="0" xfId="0" applyFont="1" applyFill="1" applyBorder="1" applyAlignment="1">
      <alignment horizontal="right"/>
    </xf>
    <xf numFmtId="0" fontId="117" fillId="0" borderId="0" xfId="119" applyNumberFormat="1" applyFont="1" applyAlignment="1" applyProtection="1">
      <alignment horizontal="center"/>
      <protection locked="0"/>
    </xf>
    <xf numFmtId="173" fontId="0" fillId="0" borderId="23" xfId="73" applyNumberFormat="1" applyFont="1" applyFill="1" applyBorder="1" applyAlignment="1">
      <alignment/>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1" fontId="0" fillId="0" borderId="0" xfId="0" applyNumberFormat="1" applyFont="1" applyFill="1" applyAlignment="1">
      <alignment horizontal="left"/>
    </xf>
    <xf numFmtId="173" fontId="8" fillId="0" borderId="0" xfId="126" applyNumberFormat="1" applyFont="1" applyFill="1" applyBorder="1" applyAlignment="1">
      <alignment/>
    </xf>
    <xf numFmtId="0" fontId="103" fillId="0" borderId="0" xfId="0" applyFont="1" applyAlignment="1">
      <alignment horizontal="center"/>
    </xf>
    <xf numFmtId="173" fontId="18" fillId="4" borderId="0" xfId="73" applyNumberFormat="1" applyFont="1" applyFill="1" applyAlignment="1" applyProtection="1">
      <alignment horizontal="right"/>
      <protection locked="0"/>
    </xf>
    <xf numFmtId="3" fontId="0" fillId="0" borderId="0" xfId="0" applyNumberFormat="1" applyFont="1" applyFill="1" applyAlignment="1" quotePrefix="1">
      <alignment/>
    </xf>
    <xf numFmtId="1" fontId="0" fillId="0" borderId="0" xfId="0" applyNumberFormat="1" applyFont="1" applyFill="1" applyAlignment="1" quotePrefix="1">
      <alignment horizontal="left"/>
    </xf>
    <xf numFmtId="164" fontId="0" fillId="4" borderId="0" xfId="126" applyNumberFormat="1" applyFont="1" applyFill="1" applyAlignment="1">
      <alignment horizontal="center"/>
    </xf>
    <xf numFmtId="173" fontId="0" fillId="0" borderId="14" xfId="0" applyNumberFormat="1" applyFont="1" applyBorder="1" applyAlignment="1">
      <alignment/>
    </xf>
    <xf numFmtId="0" fontId="3" fillId="0" borderId="0" xfId="119" applyNumberFormat="1" applyFont="1" applyFill="1" applyProtection="1">
      <alignment/>
      <protection locked="0"/>
    </xf>
    <xf numFmtId="10" fontId="3" fillId="0" borderId="0" xfId="119" applyNumberFormat="1" applyFont="1" applyAlignment="1" applyProtection="1">
      <alignment/>
      <protection locked="0"/>
    </xf>
    <xf numFmtId="0" fontId="3" fillId="0" borderId="0" xfId="0" applyFont="1" applyAlignment="1">
      <alignment vertical="top" wrapText="1"/>
    </xf>
    <xf numFmtId="172" fontId="3" fillId="0" borderId="0" xfId="119" applyFont="1" applyFill="1" applyAlignment="1" applyProtection="1">
      <alignment wrapText="1"/>
      <protection locked="0"/>
    </xf>
    <xf numFmtId="10" fontId="3" fillId="0" borderId="0" xfId="126" applyNumberFormat="1" applyFont="1" applyFill="1" applyAlignment="1" applyProtection="1">
      <alignment/>
      <protection locked="0"/>
    </xf>
    <xf numFmtId="0" fontId="3" fillId="0" borderId="0" xfId="119" applyNumberFormat="1" applyFont="1" applyFill="1" applyAlignment="1" applyProtection="1">
      <alignment/>
      <protection locked="0"/>
    </xf>
    <xf numFmtId="0" fontId="3" fillId="0" borderId="0" xfId="119" applyNumberFormat="1" applyFont="1" applyFill="1" applyAlignment="1" applyProtection="1">
      <alignment/>
      <protection locked="0"/>
    </xf>
    <xf numFmtId="172" fontId="3" fillId="0" borderId="0" xfId="119" applyFont="1" applyFill="1" applyAlignment="1" applyProtection="1">
      <alignment/>
      <protection locked="0"/>
    </xf>
    <xf numFmtId="172" fontId="3" fillId="0" borderId="0" xfId="119" applyFont="1" applyAlignment="1">
      <alignment/>
    </xf>
    <xf numFmtId="172" fontId="3" fillId="0" borderId="0" xfId="119" applyFont="1" applyAlignment="1">
      <alignment/>
    </xf>
    <xf numFmtId="172" fontId="3" fillId="0" borderId="0" xfId="119" applyFont="1" applyFill="1" applyAlignment="1" applyProtection="1">
      <alignment/>
      <protection locked="0"/>
    </xf>
    <xf numFmtId="0" fontId="3" fillId="0" borderId="0" xfId="0" applyFont="1" applyAlignment="1">
      <alignment/>
    </xf>
    <xf numFmtId="0" fontId="3" fillId="0" borderId="0" xfId="0" applyFont="1" applyAlignment="1">
      <alignment/>
    </xf>
    <xf numFmtId="0" fontId="3" fillId="0" borderId="0" xfId="119" applyNumberFormat="1" applyFont="1" applyFill="1" applyProtection="1">
      <alignment/>
      <protection locked="0"/>
    </xf>
    <xf numFmtId="0" fontId="3" fillId="0" borderId="0" xfId="119" applyNumberFormat="1" applyFont="1" applyFill="1" applyProtection="1">
      <alignment/>
      <protection locked="0"/>
    </xf>
    <xf numFmtId="0" fontId="3" fillId="0" borderId="0" xfId="119" applyNumberFormat="1" applyFont="1" applyFill="1">
      <alignment/>
    </xf>
    <xf numFmtId="10" fontId="3" fillId="0" borderId="0" xfId="119" applyNumberFormat="1" applyFont="1" applyFill="1" applyProtection="1">
      <alignment/>
      <protection locked="0"/>
    </xf>
    <xf numFmtId="0" fontId="0" fillId="0" borderId="0" xfId="109"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23" applyFont="1" applyFill="1" applyAlignment="1">
      <alignment horizontal="center"/>
      <protection/>
    </xf>
    <xf numFmtId="0" fontId="9" fillId="0" borderId="0" xfId="123" applyFont="1">
      <alignment/>
      <protection/>
    </xf>
    <xf numFmtId="0" fontId="9" fillId="0" borderId="0" xfId="123" applyFont="1" applyFill="1">
      <alignment/>
      <protection/>
    </xf>
    <xf numFmtId="0" fontId="3" fillId="0" borderId="0" xfId="0" applyFont="1" applyAlignment="1">
      <alignment/>
    </xf>
    <xf numFmtId="173" fontId="0" fillId="0" borderId="15" xfId="0" applyNumberFormat="1" applyFont="1" applyBorder="1" applyAlignment="1">
      <alignment/>
    </xf>
    <xf numFmtId="38" fontId="0" fillId="0" borderId="0" xfId="0" applyNumberFormat="1" applyFont="1" applyBorder="1" applyAlignment="1">
      <alignment/>
    </xf>
    <xf numFmtId="0" fontId="3" fillId="0" borderId="0" xfId="115" applyFont="1" applyFill="1" applyAlignment="1">
      <alignment horizontal="center"/>
      <protection/>
    </xf>
    <xf numFmtId="0" fontId="0" fillId="0" borderId="0" xfId="115" applyFont="1" applyFill="1" applyBorder="1">
      <alignment/>
      <protection/>
    </xf>
    <xf numFmtId="0" fontId="0" fillId="0" borderId="0" xfId="115" applyFont="1" applyFill="1" applyBorder="1">
      <alignment/>
      <protection/>
    </xf>
    <xf numFmtId="0" fontId="9" fillId="0" borderId="0" xfId="0" applyFont="1" applyFill="1" applyAlignment="1">
      <alignment/>
    </xf>
    <xf numFmtId="0" fontId="9" fillId="0" borderId="0" xfId="0" applyFont="1" applyAlignment="1">
      <alignment horizontal="center"/>
    </xf>
    <xf numFmtId="38" fontId="8" fillId="4" borderId="0" xfId="0" applyNumberFormat="1" applyFont="1" applyFill="1" applyBorder="1" applyAlignment="1">
      <alignment/>
    </xf>
    <xf numFmtId="3" fontId="3" fillId="0" borderId="0" xfId="0" applyNumberFormat="1" applyFont="1" applyFill="1" applyAlignment="1" quotePrefix="1">
      <alignment/>
    </xf>
    <xf numFmtId="41" fontId="8" fillId="4" borderId="0" xfId="115" applyNumberFormat="1" applyFont="1" applyFill="1" applyBorder="1">
      <alignment/>
      <protection/>
    </xf>
    <xf numFmtId="173" fontId="8" fillId="4" borderId="0" xfId="73" applyNumberFormat="1" applyFont="1" applyFill="1" applyAlignment="1">
      <alignment/>
    </xf>
    <xf numFmtId="0" fontId="88" fillId="0" borderId="0" xfId="0" applyFont="1" applyFill="1" applyAlignment="1">
      <alignment horizontal="center"/>
    </xf>
    <xf numFmtId="0" fontId="118" fillId="0" borderId="0" xfId="0" applyFont="1" applyFill="1" applyAlignment="1">
      <alignment/>
    </xf>
    <xf numFmtId="41" fontId="118" fillId="0" borderId="0" xfId="115" applyNumberFormat="1" applyFont="1" applyFill="1" applyBorder="1">
      <alignment/>
      <protection/>
    </xf>
    <xf numFmtId="0" fontId="118" fillId="0" borderId="11" xfId="0" applyFont="1" applyFill="1" applyBorder="1" applyAlignment="1">
      <alignment/>
    </xf>
    <xf numFmtId="41" fontId="118" fillId="0" borderId="0" xfId="0" applyNumberFormat="1" applyFont="1" applyFill="1" applyAlignment="1">
      <alignment/>
    </xf>
    <xf numFmtId="173" fontId="118" fillId="0" borderId="0" xfId="73" applyNumberFormat="1" applyFont="1" applyFill="1" applyAlignment="1">
      <alignment/>
    </xf>
    <xf numFmtId="173" fontId="118" fillId="0" borderId="14" xfId="0" applyNumberFormat="1" applyFont="1" applyFill="1" applyBorder="1" applyAlignment="1">
      <alignment/>
    </xf>
    <xf numFmtId="0" fontId="118" fillId="0" borderId="0" xfId="0" applyFont="1" applyFill="1" applyAlignment="1">
      <alignment/>
    </xf>
    <xf numFmtId="173" fontId="118" fillId="0" borderId="0" xfId="0" applyNumberFormat="1" applyFont="1" applyFill="1" applyAlignment="1">
      <alignment/>
    </xf>
    <xf numFmtId="10" fontId="118" fillId="0" borderId="0" xfId="126" applyNumberFormat="1" applyFont="1" applyFill="1" applyAlignment="1">
      <alignment/>
    </xf>
    <xf numFmtId="173" fontId="118" fillId="0" borderId="0" xfId="73" applyNumberFormat="1" applyFont="1" applyFill="1" applyAlignment="1">
      <alignment/>
    </xf>
    <xf numFmtId="173" fontId="8" fillId="4" borderId="0" xfId="0" applyNumberFormat="1" applyFont="1" applyFill="1" applyAlignment="1">
      <alignment/>
    </xf>
    <xf numFmtId="173" fontId="118" fillId="4" borderId="0" xfId="0" applyNumberFormat="1" applyFont="1" applyFill="1" applyAlignment="1">
      <alignment/>
    </xf>
    <xf numFmtId="173" fontId="8" fillId="4" borderId="11" xfId="0" applyNumberFormat="1" applyFont="1" applyFill="1" applyBorder="1" applyAlignment="1">
      <alignment/>
    </xf>
    <xf numFmtId="173" fontId="0" fillId="0" borderId="0" xfId="73" applyNumberFormat="1" applyAlignment="1">
      <alignment/>
    </xf>
    <xf numFmtId="174" fontId="8" fillId="4" borderId="0" xfId="83" applyNumberFormat="1" applyFont="1" applyFill="1" applyAlignment="1">
      <alignment/>
    </xf>
    <xf numFmtId="10" fontId="18" fillId="4" borderId="0" xfId="0" applyNumberFormat="1" applyFont="1" applyFill="1" applyBorder="1" applyAlignment="1">
      <alignment/>
    </xf>
    <xf numFmtId="10" fontId="18" fillId="4" borderId="11" xfId="0" applyNumberFormat="1" applyFont="1" applyFill="1" applyBorder="1" applyAlignment="1">
      <alignment/>
    </xf>
    <xf numFmtId="41" fontId="18" fillId="4" borderId="0" xfId="119" applyNumberFormat="1" applyFont="1" applyFill="1" applyAlignment="1" applyProtection="1">
      <alignment vertical="center"/>
      <protection locked="0"/>
    </xf>
    <xf numFmtId="3" fontId="18" fillId="4" borderId="0" xfId="119" applyNumberFormat="1" applyFont="1" applyFill="1" applyAlignment="1" applyProtection="1">
      <alignment/>
      <protection locked="0"/>
    </xf>
    <xf numFmtId="3" fontId="18" fillId="4" borderId="6" xfId="119" applyNumberFormat="1" applyFont="1" applyFill="1" applyBorder="1" applyAlignment="1" applyProtection="1">
      <alignment/>
      <protection locked="0"/>
    </xf>
    <xf numFmtId="164" fontId="8" fillId="4" borderId="0" xfId="126" applyNumberFormat="1" applyFont="1" applyFill="1" applyAlignment="1">
      <alignment/>
    </xf>
    <xf numFmtId="164" fontId="118" fillId="4" borderId="0" xfId="126" applyNumberFormat="1" applyFont="1" applyFill="1" applyAlignment="1">
      <alignment/>
    </xf>
    <xf numFmtId="0" fontId="67" fillId="4" borderId="0" xfId="120" applyFont="1" applyFill="1">
      <alignment/>
      <protection/>
    </xf>
    <xf numFmtId="0" fontId="67" fillId="0" borderId="0" xfId="120" applyFont="1" applyAlignment="1">
      <alignment wrapText="1"/>
      <protection/>
    </xf>
    <xf numFmtId="3" fontId="3" fillId="0" borderId="0" xfId="107" applyNumberFormat="1" applyFont="1" applyAlignment="1">
      <alignment horizontal="center"/>
      <protection/>
    </xf>
    <xf numFmtId="0" fontId="3" fillId="0" borderId="0" xfId="107" applyFont="1" applyAlignment="1">
      <alignment horizontal="center"/>
      <protection/>
    </xf>
    <xf numFmtId="49" fontId="3" fillId="0" borderId="0" xfId="75" applyNumberFormat="1" applyFont="1" applyAlignment="1">
      <alignment horizontal="center"/>
    </xf>
    <xf numFmtId="0" fontId="2" fillId="0" borderId="0" xfId="109" applyFont="1" applyBorder="1" applyAlignment="1">
      <alignment horizontal="center"/>
      <protection/>
    </xf>
    <xf numFmtId="0" fontId="16" fillId="0" borderId="0" xfId="115" applyFont="1" applyAlignment="1">
      <alignment horizontal="center" wrapText="1"/>
      <protection/>
    </xf>
    <xf numFmtId="3" fontId="3" fillId="0" borderId="0" xfId="0" applyNumberFormat="1" applyFont="1" applyAlignment="1">
      <alignment horizontal="center"/>
    </xf>
    <xf numFmtId="0" fontId="76" fillId="0" borderId="0" xfId="109" applyNumberFormat="1" applyFont="1" applyFill="1" applyBorder="1" applyAlignment="1">
      <alignment horizontal="center"/>
      <protection/>
    </xf>
    <xf numFmtId="0" fontId="76" fillId="0" borderId="0" xfId="115" applyFont="1" applyFill="1" applyAlignment="1">
      <alignment horizontal="center"/>
      <protection/>
    </xf>
    <xf numFmtId="0" fontId="16" fillId="0" borderId="0" xfId="115"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23" applyFont="1" applyFill="1" applyAlignment="1">
      <alignment wrapText="1"/>
      <protection/>
    </xf>
    <xf numFmtId="0" fontId="0" fillId="0" borderId="0" xfId="0" applyFont="1" applyAlignment="1">
      <alignment wrapText="1"/>
    </xf>
    <xf numFmtId="172" fontId="0" fillId="0" borderId="0" xfId="119" applyFont="1" applyFill="1" applyAlignment="1" applyProtection="1">
      <alignment vertical="top" wrapText="1"/>
      <protection locked="0"/>
    </xf>
    <xf numFmtId="3" fontId="2" fillId="0" borderId="0" xfId="0" applyNumberFormat="1" applyFont="1" applyAlignment="1">
      <alignment horizontal="center"/>
    </xf>
    <xf numFmtId="0" fontId="10" fillId="0" borderId="0" xfId="123" applyFont="1" applyFill="1" applyAlignment="1">
      <alignment horizontal="center"/>
      <protection/>
    </xf>
    <xf numFmtId="0" fontId="70" fillId="0" borderId="11" xfId="120" applyFont="1" applyBorder="1" applyAlignment="1">
      <alignment horizontal="center"/>
      <protection/>
    </xf>
    <xf numFmtId="49" fontId="3" fillId="0" borderId="0" xfId="73" applyNumberFormat="1" applyFont="1" applyAlignment="1">
      <alignment horizontal="center"/>
    </xf>
    <xf numFmtId="3" fontId="3" fillId="0" borderId="0" xfId="119" applyNumberFormat="1" applyFont="1" applyAlignment="1" applyProtection="1">
      <alignment horizontal="left" wrapText="1"/>
      <protection locked="0"/>
    </xf>
    <xf numFmtId="0" fontId="0" fillId="0" borderId="0" xfId="0" applyFont="1" applyAlignment="1">
      <alignment horizontal="left" wrapText="1"/>
    </xf>
    <xf numFmtId="0" fontId="3" fillId="0" borderId="0" xfId="119" applyNumberFormat="1" applyFont="1" applyFill="1" applyAlignment="1" applyProtection="1">
      <alignment vertical="top" wrapText="1"/>
      <protection locked="0"/>
    </xf>
    <xf numFmtId="0" fontId="0" fillId="0" borderId="0" xfId="0" applyFont="1" applyAlignment="1">
      <alignment vertical="top" wrapText="1"/>
    </xf>
    <xf numFmtId="0" fontId="0" fillId="0" borderId="0" xfId="0" applyFont="1" applyAlignment="1">
      <alignment vertical="top" wrapText="1"/>
    </xf>
    <xf numFmtId="0" fontId="16" fillId="0" borderId="0" xfId="109" applyFont="1" applyBorder="1" applyAlignment="1" quotePrefix="1">
      <alignment horizontal="center" wrapText="1"/>
      <protection/>
    </xf>
    <xf numFmtId="0" fontId="12" fillId="0" borderId="0" xfId="0" applyFont="1" applyAlignment="1">
      <alignment horizontal="center" wrapText="1"/>
    </xf>
    <xf numFmtId="0" fontId="3" fillId="0" borderId="0" xfId="109" applyFont="1" applyBorder="1" applyAlignment="1">
      <alignment horizontal="center"/>
      <protection/>
    </xf>
    <xf numFmtId="0" fontId="3" fillId="0" borderId="0" xfId="0" applyFont="1" applyAlignment="1">
      <alignment horizontal="center"/>
    </xf>
    <xf numFmtId="49" fontId="3" fillId="0" borderId="0" xfId="109" applyNumberFormat="1" applyFont="1" applyBorder="1" applyAlignment="1">
      <alignment horizontal="center"/>
      <protection/>
    </xf>
    <xf numFmtId="0" fontId="3" fillId="0" borderId="0" xfId="119"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0" fontId="10" fillId="0" borderId="0" xfId="119" applyNumberFormat="1" applyFont="1" applyAlignment="1" applyProtection="1">
      <alignment horizontal="center"/>
      <protection locked="0"/>
    </xf>
    <xf numFmtId="0" fontId="12" fillId="0" borderId="0" xfId="0" applyFont="1" applyAlignment="1">
      <alignment/>
    </xf>
    <xf numFmtId="49" fontId="3" fillId="0" borderId="0" xfId="119" applyNumberFormat="1" applyFont="1" applyAlignment="1" applyProtection="1">
      <alignment horizontal="center"/>
      <protection locked="0"/>
    </xf>
    <xf numFmtId="0" fontId="0" fillId="0" borderId="0" xfId="0" applyFont="1" applyAlignment="1">
      <alignment horizontal="center"/>
    </xf>
    <xf numFmtId="0" fontId="3" fillId="0" borderId="0" xfId="119" applyNumberFormat="1" applyFont="1" applyFill="1" applyAlignment="1" applyProtection="1">
      <alignment horizontal="left" wrapText="1"/>
      <protection locked="0"/>
    </xf>
    <xf numFmtId="172" fontId="72" fillId="0" borderId="0" xfId="119" applyFont="1" applyAlignment="1">
      <alignment horizontal="left" wrapText="1"/>
    </xf>
    <xf numFmtId="0" fontId="0" fillId="0" borderId="0" xfId="0" applyAlignment="1">
      <alignment horizontal="center"/>
    </xf>
    <xf numFmtId="172" fontId="3" fillId="0" borderId="0" xfId="119"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9" applyNumberFormat="1" applyFont="1" applyFill="1" applyAlignment="1" applyProtection="1">
      <alignment horizontal="center"/>
      <protection locked="0"/>
    </xf>
    <xf numFmtId="3" fontId="3" fillId="0" borderId="0" xfId="119"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9" applyFont="1" applyFill="1" applyAlignment="1" applyProtection="1">
      <alignment vertical="top" wrapText="1"/>
      <protection locked="0"/>
    </xf>
    <xf numFmtId="0" fontId="3" fillId="0" borderId="0" xfId="0" applyFont="1" applyAlignment="1">
      <alignment vertical="top" wrapText="1"/>
    </xf>
    <xf numFmtId="172" fontId="4" fillId="0" borderId="11" xfId="119" applyFont="1" applyBorder="1" applyAlignment="1" applyProtection="1">
      <alignment horizontal="center"/>
      <protection locked="0"/>
    </xf>
    <xf numFmtId="172" fontId="3" fillId="0" borderId="0" xfId="119" applyFont="1" applyFill="1" applyAlignment="1" applyProtection="1">
      <alignment wrapText="1"/>
      <protection locked="0"/>
    </xf>
    <xf numFmtId="0" fontId="0" fillId="0" borderId="0" xfId="0" applyFont="1" applyAlignment="1">
      <alignment wrapText="1"/>
    </xf>
    <xf numFmtId="172" fontId="3" fillId="0" borderId="0" xfId="119" applyFont="1" applyAlignment="1">
      <alignment wrapText="1"/>
    </xf>
    <xf numFmtId="0" fontId="0" fillId="0" borderId="0" xfId="0" applyAlignment="1">
      <alignment wrapText="1"/>
    </xf>
    <xf numFmtId="172" fontId="3" fillId="0" borderId="0" xfId="119" applyFont="1" applyAlignment="1">
      <alignment wrapText="1"/>
    </xf>
    <xf numFmtId="0" fontId="0" fillId="0" borderId="0" xfId="0" applyFont="1" applyFill="1" applyAlignment="1">
      <alignment vertical="top" wrapText="1"/>
    </xf>
    <xf numFmtId="0" fontId="0" fillId="0" borderId="0" xfId="0" applyFont="1" applyFill="1" applyAlignment="1">
      <alignment wrapText="1"/>
    </xf>
    <xf numFmtId="172" fontId="3" fillId="0" borderId="0" xfId="119" applyFont="1" applyFill="1" applyAlignment="1" applyProtection="1">
      <alignment wrapText="1"/>
      <protection locked="0"/>
    </xf>
    <xf numFmtId="0" fontId="0" fillId="0" borderId="0" xfId="0" applyFont="1" applyAlignment="1">
      <alignment horizontal="center"/>
    </xf>
    <xf numFmtId="0" fontId="3" fillId="0" borderId="0" xfId="119" applyNumberFormat="1" applyFont="1" applyFill="1" applyAlignment="1" applyProtection="1">
      <alignment horizontal="left" wrapText="1"/>
      <protection locked="0"/>
    </xf>
    <xf numFmtId="0" fontId="2" fillId="0" borderId="0" xfId="0" applyFont="1" applyAlignment="1">
      <alignment horizontal="center"/>
    </xf>
    <xf numFmtId="0" fontId="0" fillId="0" borderId="0" xfId="0" applyNumberFormat="1" applyAlignment="1">
      <alignment horizontal="left" wrapText="1"/>
    </xf>
    <xf numFmtId="173" fontId="96" fillId="0" borderId="0" xfId="73" applyNumberFormat="1" applyFont="1" applyBorder="1" applyAlignment="1">
      <alignment horizontal="center"/>
    </xf>
    <xf numFmtId="172" fontId="0" fillId="0" borderId="29" xfId="119"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2" fillId="0" borderId="0" xfId="115" applyFont="1" applyAlignment="1">
      <alignment horizontal="center" wrapText="1"/>
      <protection/>
    </xf>
    <xf numFmtId="0" fontId="0" fillId="0" borderId="0" xfId="0" applyFont="1" applyAlignment="1">
      <alignment horizontal="center" wrapText="1"/>
    </xf>
    <xf numFmtId="3" fontId="0" fillId="0" borderId="0" xfId="0" applyNumberFormat="1" applyAlignment="1">
      <alignment horizontal="center"/>
    </xf>
    <xf numFmtId="0" fontId="0" fillId="0" borderId="0" xfId="115" applyFont="1" applyFill="1" applyAlignment="1">
      <alignment horizontal="left" wrapText="1"/>
      <protection/>
    </xf>
    <xf numFmtId="0" fontId="9" fillId="0" borderId="0" xfId="115" applyFont="1" applyFill="1" applyAlignment="1">
      <alignment horizontal="left" vertical="top" wrapText="1"/>
      <protection/>
    </xf>
    <xf numFmtId="41" fontId="9" fillId="0" borderId="0" xfId="115" applyNumberFormat="1" applyFont="1" applyFill="1" applyBorder="1" applyAlignment="1">
      <alignment horizontal="center" wrapText="1"/>
      <protection/>
    </xf>
    <xf numFmtId="0" fontId="89" fillId="0" borderId="0" xfId="115"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9" fillId="0" borderId="0" xfId="0" applyFont="1" applyAlignment="1">
      <alignment horizontal="left" wrapText="1"/>
    </xf>
    <xf numFmtId="0" fontId="16" fillId="0" borderId="0" xfId="0" applyFont="1" applyAlignment="1">
      <alignment horizontal="left" wrapText="1"/>
    </xf>
    <xf numFmtId="0" fontId="0" fillId="0" borderId="0" xfId="0" applyAlignment="1">
      <alignment/>
    </xf>
    <xf numFmtId="0" fontId="9" fillId="0" borderId="0" xfId="0" applyFont="1" applyAlignment="1">
      <alignment horizontal="center"/>
    </xf>
    <xf numFmtId="173" fontId="9" fillId="0" borderId="0" xfId="73" applyNumberFormat="1" applyFont="1" applyAlignment="1">
      <alignment horizontal="center" wrapText="1"/>
    </xf>
    <xf numFmtId="0" fontId="108" fillId="0" borderId="0" xfId="122" applyFont="1" applyAlignment="1">
      <alignment horizontal="center"/>
      <protection/>
    </xf>
    <xf numFmtId="0" fontId="3" fillId="0" borderId="0" xfId="0" applyFont="1" applyAlignment="1">
      <alignment vertical="top" wrapText="1"/>
    </xf>
    <xf numFmtId="0" fontId="72" fillId="0" borderId="0" xfId="122" applyFont="1" applyAlignment="1">
      <alignment horizontal="center"/>
      <protection/>
    </xf>
    <xf numFmtId="0" fontId="1" fillId="0" borderId="0" xfId="122" applyAlignment="1">
      <alignment wrapText="1"/>
      <protection/>
    </xf>
  </cellXfs>
  <cellStyles count="1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4" xfId="80"/>
    <cellStyle name="Comma_spp calc - revsd rev crd" xfId="81"/>
    <cellStyle name="Comma0" xfId="82"/>
    <cellStyle name="Currency" xfId="83"/>
    <cellStyle name="Currency [0]" xfId="84"/>
    <cellStyle name="Currency 2" xfId="85"/>
    <cellStyle name="Currency 2 2" xfId="86"/>
    <cellStyle name="Currency 3" xfId="87"/>
    <cellStyle name="Currency 3 2" xfId="88"/>
    <cellStyle name="Currency 3 3" xfId="89"/>
    <cellStyle name="Currency 4" xfId="90"/>
    <cellStyle name="Currency0" xfId="91"/>
    <cellStyle name="Date" xfId="92"/>
    <cellStyle name="Explanatory Text" xfId="93"/>
    <cellStyle name="Fixed" xfId="94"/>
    <cellStyle name="Followed Hyperlink" xfId="95"/>
    <cellStyle name="Good" xfId="96"/>
    <cellStyle name="Heading 1" xfId="97"/>
    <cellStyle name="Heading 2" xfId="98"/>
    <cellStyle name="Heading 3" xfId="99"/>
    <cellStyle name="Heading 4" xfId="100"/>
    <cellStyle name="Heading1" xfId="101"/>
    <cellStyle name="Heading2" xfId="102"/>
    <cellStyle name="Hyperlink" xfId="103"/>
    <cellStyle name="Input" xfId="104"/>
    <cellStyle name="Linked Cell" xfId="105"/>
    <cellStyle name="Neutral" xfId="106"/>
    <cellStyle name="Normal 2" xfId="107"/>
    <cellStyle name="Normal 3" xfId="108"/>
    <cellStyle name="Normal 3 2" xfId="109"/>
    <cellStyle name="Normal 3_OPCo Period I PJM  Formula Rate" xfId="110"/>
    <cellStyle name="Normal 4" xfId="111"/>
    <cellStyle name="Normal 4 2" xfId="112"/>
    <cellStyle name="Normal 4 3" xfId="113"/>
    <cellStyle name="Normal 5" xfId="114"/>
    <cellStyle name="Normal_ADITAnalysisID090805" xfId="115"/>
    <cellStyle name="Normal_ADITAnalysisID090805 2" xfId="116"/>
    <cellStyle name="Normal_AU Period 2 Rev 4-27-00" xfId="117"/>
    <cellStyle name="Normal_AU Period 2 Rev 4-27-00 2" xfId="118"/>
    <cellStyle name="Normal_FN1 Ratebase Draft SPP template (6-11-04) v2" xfId="119"/>
    <cellStyle name="Normal_I&amp;M-AK-1" xfId="120"/>
    <cellStyle name="Normal_OPCo Period I PJM  Formula Rate" xfId="121"/>
    <cellStyle name="Normal_Revised 1-21-10  Deprec Summary" xfId="122"/>
    <cellStyle name="Normal_spp calc - revsd rev crd" xfId="123"/>
    <cellStyle name="Note" xfId="124"/>
    <cellStyle name="Output" xfId="125"/>
    <cellStyle name="Percent" xfId="126"/>
    <cellStyle name="Percent 2" xfId="127"/>
    <cellStyle name="Percent 2 2" xfId="128"/>
    <cellStyle name="Percent 3" xfId="129"/>
    <cellStyle name="Percent 3 2" xfId="130"/>
    <cellStyle name="Percent 3 3" xfId="131"/>
    <cellStyle name="Percent 4" xfId="132"/>
    <cellStyle name="PSChar" xfId="133"/>
    <cellStyle name="PSDate" xfId="134"/>
    <cellStyle name="PSDec" xfId="135"/>
    <cellStyle name="PSdesc" xfId="136"/>
    <cellStyle name="PSHeading" xfId="137"/>
    <cellStyle name="PSInt" xfId="138"/>
    <cellStyle name="PSSpacer" xfId="139"/>
    <cellStyle name="PStest" xfId="140"/>
    <cellStyle name="R00A" xfId="141"/>
    <cellStyle name="R00B" xfId="142"/>
    <cellStyle name="R00L" xfId="143"/>
    <cellStyle name="R01A" xfId="144"/>
    <cellStyle name="R01B" xfId="145"/>
    <cellStyle name="R01H" xfId="146"/>
    <cellStyle name="R01L" xfId="147"/>
    <cellStyle name="R02A" xfId="148"/>
    <cellStyle name="R02B" xfId="149"/>
    <cellStyle name="R02H" xfId="150"/>
    <cellStyle name="R02L" xfId="151"/>
    <cellStyle name="R03A" xfId="152"/>
    <cellStyle name="R03B" xfId="153"/>
    <cellStyle name="R03H" xfId="154"/>
    <cellStyle name="R03L" xfId="155"/>
    <cellStyle name="R04A" xfId="156"/>
    <cellStyle name="R04B" xfId="157"/>
    <cellStyle name="R04H" xfId="158"/>
    <cellStyle name="R04L" xfId="159"/>
    <cellStyle name="R05A" xfId="160"/>
    <cellStyle name="R05B" xfId="161"/>
    <cellStyle name="R05H" xfId="162"/>
    <cellStyle name="R05L" xfId="163"/>
    <cellStyle name="R06A" xfId="164"/>
    <cellStyle name="R06B" xfId="165"/>
    <cellStyle name="R06H" xfId="166"/>
    <cellStyle name="R06L" xfId="167"/>
    <cellStyle name="R07A" xfId="168"/>
    <cellStyle name="R07B" xfId="169"/>
    <cellStyle name="R07H" xfId="170"/>
    <cellStyle name="R07L" xfId="171"/>
    <cellStyle name="Title" xfId="172"/>
    <cellStyle name="Total" xfId="173"/>
    <cellStyle name="Warning Text" xfId="174"/>
  </cellStyles>
  <dxfs count="2">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60606"/>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Kg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GPCo Projected TCOS"/>
      <sheetName val="KGPCo Historic TCOS"/>
      <sheetName val="KGPCo True-UP TCOS"/>
      <sheetName val="KGPCo WS A  - RB Support "/>
      <sheetName val="KGPCo WS B ADIT &amp; ITC"/>
      <sheetName val="KGPCo WS C  - Working Capital"/>
      <sheetName val="KGPCo WS D IPP Credits"/>
      <sheetName val="KGPCo WS E Rev Credits"/>
      <sheetName val="KGPCo WS F Misc Exp"/>
      <sheetName val="KGPCo WS G  State Tax Rate"/>
      <sheetName val="KGPCo WS H Other Taxes"/>
      <sheetName val="KGPCo WS I Projected Plant"/>
      <sheetName val="KGPCo WS J PROJECTED RTEP RR"/>
      <sheetName val="KGPCo WS K TRUE-UP RTEP RR"/>
      <sheetName val="KGPCo WS L Cost of Debt"/>
      <sheetName val="KGPCo WS M - Avg Cap Structure"/>
      <sheetName val="KGPCo WS N - Sale of Plant Held"/>
      <sheetName val="KGPCo -WS O"/>
    </sheetNames>
    <sheetDataSet>
      <sheetData sheetId="1">
        <row r="100">
          <cell r="J100">
            <v>0.1158964380348271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9"/>
  <sheetViews>
    <sheetView tabSelected="1" zoomScale="75" zoomScaleNormal="75" zoomScalePageLayoutView="0" workbookViewId="0" topLeftCell="A1">
      <selection activeCell="A1" sqref="A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2"/>
      <c r="C1" s="13"/>
      <c r="D1" s="135"/>
      <c r="E1" s="66"/>
      <c r="F1" s="66"/>
      <c r="G1" s="67"/>
      <c r="H1" s="13"/>
      <c r="I1" s="14"/>
      <c r="J1" s="14"/>
      <c r="K1" s="14"/>
      <c r="L1" s="15"/>
      <c r="M1" s="13" t="s">
        <v>709</v>
      </c>
    </row>
    <row r="2" spans="2:13" ht="15">
      <c r="B2" s="92"/>
      <c r="C2" s="13"/>
      <c r="D2" s="13"/>
      <c r="E2" s="13"/>
      <c r="F2" s="13"/>
      <c r="G2" s="13"/>
      <c r="H2" s="13"/>
      <c r="I2" s="13"/>
      <c r="J2" s="13"/>
      <c r="K2" s="13"/>
      <c r="L2" s="13"/>
      <c r="M2" s="13" t="s">
        <v>709</v>
      </c>
    </row>
    <row r="3" spans="2:13" ht="15">
      <c r="B3" s="92"/>
      <c r="C3" s="13"/>
      <c r="D3" s="17"/>
      <c r="E3" s="17"/>
      <c r="F3" s="11" t="s">
        <v>282</v>
      </c>
      <c r="G3" s="90"/>
      <c r="H3" s="90"/>
      <c r="J3" s="17"/>
      <c r="K3" s="18"/>
      <c r="L3" s="18"/>
      <c r="M3" s="101"/>
    </row>
    <row r="4" spans="2:13" ht="15">
      <c r="B4" s="92"/>
      <c r="C4" s="13"/>
      <c r="D4" s="17"/>
      <c r="E4" s="19"/>
      <c r="F4" s="11" t="s">
        <v>281</v>
      </c>
      <c r="G4" s="90"/>
      <c r="H4" s="90"/>
      <c r="J4" s="19"/>
      <c r="K4" s="18"/>
      <c r="L4" s="18"/>
      <c r="M4" s="101"/>
    </row>
    <row r="5" spans="2:13" ht="15">
      <c r="B5" s="92"/>
      <c r="C5" s="13"/>
      <c r="D5" s="18"/>
      <c r="E5" s="18"/>
      <c r="F5" s="12" t="str">
        <f>"Utilizing  Historic Cost Data for "&amp;'KGPCo Historic TCOS'!O1&amp;" and Projected Net Plant at Year-End "&amp;'KGPCo Historic TCOS'!O2&amp;""</f>
        <v>Utilizing  Historic Cost Data for 2011 and Projected Net Plant at Year-End 2012</v>
      </c>
      <c r="G5" s="90"/>
      <c r="H5" s="90"/>
      <c r="J5" s="18"/>
      <c r="K5" s="18"/>
      <c r="L5" s="18"/>
      <c r="M5" s="101"/>
    </row>
    <row r="6" spans="2:13" ht="15">
      <c r="B6" s="93"/>
      <c r="C6" s="20"/>
      <c r="D6" s="18"/>
      <c r="H6" s="21"/>
      <c r="I6" s="21"/>
      <c r="J6" s="21"/>
      <c r="K6" s="21"/>
      <c r="L6" s="18"/>
      <c r="M6" s="18"/>
    </row>
    <row r="7" spans="2:13" ht="15.75">
      <c r="B7" s="93"/>
      <c r="C7" s="20"/>
      <c r="D7"/>
      <c r="E7" s="18"/>
      <c r="F7" s="499" t="str">
        <f>'KGPCo Historic TCOS'!F7</f>
        <v>KINGSPORT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764</v>
      </c>
      <c r="C9" s="20"/>
      <c r="D9" s="18"/>
      <c r="E9" s="18"/>
      <c r="F9" s="18"/>
      <c r="G9" s="22"/>
      <c r="H9" s="18"/>
      <c r="I9" s="18"/>
      <c r="J9" s="18"/>
      <c r="K9" s="18"/>
      <c r="L9" s="20" t="s">
        <v>710</v>
      </c>
      <c r="M9" s="18"/>
    </row>
    <row r="10" spans="2:13" ht="15.75" thickBot="1">
      <c r="B10" s="94" t="s">
        <v>712</v>
      </c>
      <c r="C10" s="25"/>
      <c r="D10" s="18"/>
      <c r="E10" s="25"/>
      <c r="F10" s="18"/>
      <c r="G10" s="18"/>
      <c r="H10" s="18"/>
      <c r="I10" s="18"/>
      <c r="J10" s="18"/>
      <c r="K10" s="18"/>
      <c r="L10" s="24" t="s">
        <v>765</v>
      </c>
      <c r="M10" s="18"/>
    </row>
    <row r="11" spans="2:13" ht="15">
      <c r="B11" s="93">
        <v>1</v>
      </c>
      <c r="C11" s="20"/>
      <c r="D11" s="88" t="s">
        <v>706</v>
      </c>
      <c r="E11" s="26" t="str">
        <f>"(ln "&amp;B213&amp;")"</f>
        <v>(ln 138)</v>
      </c>
      <c r="F11" s="26"/>
      <c r="G11" s="27"/>
      <c r="H11" s="28"/>
      <c r="I11" s="18"/>
      <c r="J11" s="18"/>
      <c r="K11" s="18"/>
      <c r="L11" s="69">
        <f>+L213</f>
        <v>2904010.0193198584</v>
      </c>
      <c r="M11" s="18"/>
    </row>
    <row r="12" spans="2:13" ht="15.75" thickBot="1">
      <c r="B12" s="93"/>
      <c r="C12" s="20"/>
      <c r="E12" s="306"/>
      <c r="F12" s="29"/>
      <c r="G12" s="24" t="s">
        <v>713</v>
      </c>
      <c r="H12" s="19"/>
      <c r="I12" s="30" t="s">
        <v>714</v>
      </c>
      <c r="J12" s="30"/>
      <c r="K12" s="18"/>
      <c r="L12" s="27"/>
      <c r="M12" s="18"/>
    </row>
    <row r="13" spans="2:13" ht="15">
      <c r="B13" s="93">
        <f>+B11+1</f>
        <v>2</v>
      </c>
      <c r="C13" s="20"/>
      <c r="D13" s="89" t="s">
        <v>763</v>
      </c>
      <c r="E13" s="333" t="s">
        <v>179</v>
      </c>
      <c r="F13" s="29"/>
      <c r="G13" s="130">
        <f>+'KGPCo WS E Rev Credits'!K25</f>
        <v>158042</v>
      </c>
      <c r="H13" s="29"/>
      <c r="I13" s="49" t="s">
        <v>724</v>
      </c>
      <c r="J13" s="50">
        <f>VLOOKUP(I13,APCo_Proj_Allocators,2,FALSE)</f>
        <v>1</v>
      </c>
      <c r="K13" s="19"/>
      <c r="L13" s="160">
        <f>+J13*G13</f>
        <v>158042</v>
      </c>
      <c r="M13" s="18"/>
    </row>
    <row r="14" spans="2:13" ht="15">
      <c r="B14" s="93"/>
      <c r="C14" s="20"/>
      <c r="D14" s="89"/>
      <c r="F14" s="19"/>
      <c r="L14" s="581"/>
      <c r="M14" s="18"/>
    </row>
    <row r="15" spans="2:13" ht="30.75" thickBot="1">
      <c r="B15" s="97">
        <f>+B13+1</f>
        <v>3</v>
      </c>
      <c r="C15" s="81"/>
      <c r="D15" s="141" t="s">
        <v>368</v>
      </c>
      <c r="E15" s="106" t="str">
        <f>"(ln "&amp;B11&amp;" less ln "&amp;B13&amp;")"</f>
        <v>(ln 1 less ln 2)</v>
      </c>
      <c r="F15" s="18"/>
      <c r="H15" s="19"/>
      <c r="I15" s="32"/>
      <c r="J15" s="19"/>
      <c r="K15" s="19"/>
      <c r="L15" s="305">
        <f>+L11-L13</f>
        <v>2745968.0193198584</v>
      </c>
      <c r="M15" s="18"/>
    </row>
    <row r="16" spans="2:13" ht="15.75" thickTop="1">
      <c r="B16" s="97"/>
      <c r="C16" s="81"/>
      <c r="D16" s="89"/>
      <c r="E16" s="106"/>
      <c r="F16" s="18"/>
      <c r="H16" s="19"/>
      <c r="I16" s="32"/>
      <c r="J16" s="19"/>
      <c r="K16" s="19"/>
      <c r="L16" s="107"/>
      <c r="M16" s="18"/>
    </row>
    <row r="17" spans="2:9" ht="15" customHeight="1">
      <c r="B17" s="1151"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51"/>
      <c r="D17" s="1151"/>
      <c r="E17" s="1151"/>
      <c r="F17" s="1151"/>
      <c r="G17" s="1151"/>
      <c r="H17" s="1151"/>
      <c r="I17" s="1151"/>
    </row>
    <row r="18" spans="2:9" ht="36.75" customHeight="1">
      <c r="B18" s="1151"/>
      <c r="C18" s="1151"/>
      <c r="D18" s="1151"/>
      <c r="E18" s="1151"/>
      <c r="F18" s="1151"/>
      <c r="G18" s="1151"/>
      <c r="H18" s="1151"/>
      <c r="I18" s="1151"/>
    </row>
    <row r="19" spans="2:9" ht="15" customHeight="1">
      <c r="B19" s="685"/>
      <c r="C19" s="685"/>
      <c r="D19" s="685"/>
      <c r="E19" s="685"/>
      <c r="F19" s="685"/>
      <c r="G19" s="685"/>
      <c r="H19" s="685"/>
      <c r="I19" s="685"/>
    </row>
    <row r="20" spans="2:13" ht="15">
      <c r="B20" s="93">
        <f>+B15+1</f>
        <v>4</v>
      </c>
      <c r="C20" s="81"/>
      <c r="D20" s="332" t="s">
        <v>566</v>
      </c>
      <c r="E20" s="333"/>
      <c r="F20" s="29"/>
      <c r="G20" s="123">
        <f>+'KGPCo WS J PROJECTED RTEP RR'!M24</f>
        <v>0</v>
      </c>
      <c r="H20" s="29"/>
      <c r="I20" s="49" t="s">
        <v>724</v>
      </c>
      <c r="J20" s="50">
        <f>VLOOKUP(I20,APCo_Proj_Allocators,2,FALSE)</f>
        <v>1</v>
      </c>
      <c r="K20" s="26"/>
      <c r="L20" s="334">
        <f>+J20*G20</f>
        <v>0</v>
      </c>
      <c r="M20" s="18"/>
    </row>
    <row r="21" spans="2:13" ht="15">
      <c r="B21" s="93"/>
      <c r="C21" s="81"/>
      <c r="D21" s="332"/>
      <c r="E21" s="106"/>
      <c r="F21" s="29"/>
      <c r="G21" s="123"/>
      <c r="H21" s="29"/>
      <c r="I21" s="29"/>
      <c r="J21" s="50"/>
      <c r="K21" s="26"/>
      <c r="L21" s="334"/>
      <c r="M21" s="18"/>
    </row>
    <row r="22" spans="2:13" ht="15">
      <c r="B22" s="97">
        <f>+B20+1</f>
        <v>5</v>
      </c>
      <c r="C22" s="81"/>
      <c r="D22" s="332" t="s">
        <v>250</v>
      </c>
      <c r="E22" s="333"/>
      <c r="F22" s="18"/>
      <c r="G22" s="702"/>
      <c r="H22" s="18"/>
      <c r="I22" s="13"/>
      <c r="J22" s="18"/>
      <c r="K22" s="18"/>
      <c r="M22" s="18"/>
    </row>
    <row r="23" spans="2:13" ht="15">
      <c r="B23" s="93">
        <f>B22+1</f>
        <v>6</v>
      </c>
      <c r="C23" s="81"/>
      <c r="D23" s="57" t="s">
        <v>98</v>
      </c>
      <c r="E23" s="1054" t="str">
        <f>"( (ln "&amp;B11&amp;" - ln "&amp;B171&amp;" - ln "&amp;B172&amp;")/((ln "&amp;$B$91&amp;" + ln "&amp;$B$92&amp;" + ln "&amp;$B$93&amp;" + ln "&amp;$B$94&amp;" + ln "&amp;$B$96&amp;") x 100) )"</f>
        <v>( (ln 1 - ln 105 - ln 106)/((ln 48 + ln 49 + ln 50 + ln 51 + ln 53) x 100) )</v>
      </c>
      <c r="F23" s="20"/>
      <c r="G23" s="20"/>
      <c r="I23" s="336"/>
      <c r="J23" s="1042"/>
      <c r="K23" s="336"/>
      <c r="L23" s="1055">
        <f>(L11-L171-L172)/(SUM(SUM($L$91:$L$94),$L$96))</f>
        <v>0.22769022069077952</v>
      </c>
      <c r="M23" s="18"/>
    </row>
    <row r="24" spans="2:13" ht="15">
      <c r="B24" s="93">
        <f>B23+1</f>
        <v>7</v>
      </c>
      <c r="C24" s="81"/>
      <c r="D24" s="57" t="s">
        <v>99</v>
      </c>
      <c r="E24" s="26" t="str">
        <f>"(ln "&amp;B23&amp;" / 12)"</f>
        <v>(ln 6 / 12)</v>
      </c>
      <c r="F24" s="20"/>
      <c r="G24" s="20"/>
      <c r="H24" s="20"/>
      <c r="I24" s="336"/>
      <c r="J24" s="336"/>
      <c r="K24" s="336"/>
      <c r="L24" s="338">
        <f>L23/12</f>
        <v>0.01897418505756496</v>
      </c>
      <c r="M24" s="18"/>
    </row>
    <row r="25" spans="2:13" ht="15">
      <c r="B25" s="93"/>
      <c r="C25" s="81"/>
      <c r="D25" s="57"/>
      <c r="E25" s="26"/>
      <c r="F25" s="20"/>
      <c r="G25" s="20"/>
      <c r="H25" s="20"/>
      <c r="I25" s="336"/>
      <c r="J25" s="336"/>
      <c r="K25" s="336"/>
      <c r="L25" s="338"/>
      <c r="M25" s="18"/>
    </row>
    <row r="26" spans="2:13"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c r="M26" s="18"/>
    </row>
    <row r="27" spans="2:13" ht="15">
      <c r="B27" s="93">
        <f>B26+1</f>
        <v>9</v>
      </c>
      <c r="C27" s="81"/>
      <c r="D27" s="57" t="s">
        <v>98</v>
      </c>
      <c r="E27" s="1054"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6"/>
      <c r="J27" s="1042"/>
      <c r="K27" s="336"/>
      <c r="L27" s="1055">
        <f>(L11-L171-L172-L178-L179)/(SUM(SUM($L$91:$L$94),$L$96))</f>
        <v>0.1862778717853637</v>
      </c>
      <c r="M27" s="18"/>
    </row>
    <row r="28" spans="2:13" ht="15">
      <c r="B28" s="93"/>
      <c r="C28" s="81"/>
      <c r="D28" s="57"/>
      <c r="E28" s="26"/>
      <c r="F28" s="20"/>
      <c r="G28" s="20"/>
      <c r="H28" s="20"/>
      <c r="I28" s="336"/>
      <c r="J28" s="336"/>
      <c r="K28" s="336"/>
      <c r="L28" s="338"/>
      <c r="M28" s="18"/>
    </row>
    <row r="29" spans="2:13" ht="15">
      <c r="B29" s="93">
        <f>B27+1</f>
        <v>10</v>
      </c>
      <c r="C29" s="81"/>
      <c r="D29" s="332" t="str">
        <f>"NET PLANT CARRYING CHARGE ON LINE "&amp;B27&amp;", w/o Return, income taxes or ROE incentives (Note B)"</f>
        <v>NET PLANT CARRYING CHARGE ON LINE 9, w/o Return, income taxes or ROE incentives (Note B)</v>
      </c>
      <c r="E29" s="26"/>
      <c r="F29" s="81"/>
      <c r="G29" s="81"/>
      <c r="H29" s="81"/>
      <c r="I29" s="876"/>
      <c r="J29" s="876"/>
      <c r="K29" s="876"/>
      <c r="L29" s="877"/>
      <c r="M29" s="18"/>
    </row>
    <row r="30" spans="2:13" ht="15">
      <c r="B30" s="93">
        <f>B29+1</f>
        <v>11</v>
      </c>
      <c r="C30" s="81"/>
      <c r="D30" s="57" t="s">
        <v>98</v>
      </c>
      <c r="E30" s="1054" t="str">
        <f>"( (ln "&amp;B11&amp;" - ln "&amp;B171&amp;" - ln "&amp;B172&amp;" - ln "&amp;B178&amp;" - ln "&amp;B179&amp;"- ln "&amp;B203&amp;" - ln "&amp;B205&amp;") /((ln "&amp;$B$91&amp;" + ln "&amp;$B$92&amp;" + ln "&amp;$B$93&amp;" + ln "&amp;$B$94&amp;" + ln "&amp;$B$96&amp;") x 100) )"</f>
        <v>( (ln 1 - ln 105 - ln 106 - ln 111 - ln 112- ln 133 - ln 134) /((ln 48 + ln 49 + ln 50 + ln 51 + ln 53) x 100) )</v>
      </c>
      <c r="F30" s="81"/>
      <c r="G30" s="81"/>
      <c r="H30" s="81"/>
      <c r="I30" s="876"/>
      <c r="K30" s="876"/>
      <c r="L30" s="1058">
        <f>(L11-L171-L172-L178-L179-L203-L205)/(SUM(SUM($L$91:$L$94),$L$96))</f>
        <v>0.07481024232588686</v>
      </c>
      <c r="M30" s="585"/>
    </row>
    <row r="31" spans="2:13" ht="15">
      <c r="B31" s="93"/>
      <c r="C31" s="81"/>
      <c r="D31" s="17"/>
      <c r="E31" s="26"/>
      <c r="F31" s="20"/>
      <c r="G31" s="20"/>
      <c r="H31" s="20"/>
      <c r="I31" s="1042"/>
      <c r="J31" s="336"/>
      <c r="K31" s="336"/>
      <c r="L31" s="337"/>
      <c r="M31" s="586"/>
    </row>
    <row r="32" spans="2:13" ht="15">
      <c r="B32" s="93">
        <f>B30+1</f>
        <v>12</v>
      </c>
      <c r="C32" s="20"/>
      <c r="D32" s="493" t="s">
        <v>367</v>
      </c>
      <c r="E32" s="26"/>
      <c r="F32" s="20"/>
      <c r="G32" s="20"/>
      <c r="H32" s="20"/>
      <c r="I32" s="336"/>
      <c r="J32" s="336"/>
      <c r="K32" s="336"/>
      <c r="L32" s="123">
        <f>+'KGPCo WS J PROJECTED RTEP RR'!O24</f>
        <v>0</v>
      </c>
      <c r="M32" s="18"/>
    </row>
    <row r="33" spans="2:14" ht="15">
      <c r="B33" s="93"/>
      <c r="C33" s="20"/>
      <c r="D33" s="13"/>
      <c r="E33" s="26"/>
      <c r="F33" s="20"/>
      <c r="G33" s="20"/>
      <c r="H33" s="20"/>
      <c r="I33" s="336"/>
      <c r="J33" s="336"/>
      <c r="K33" s="336"/>
      <c r="L33" s="337"/>
      <c r="M33" s="18"/>
      <c r="N33" s="337"/>
    </row>
    <row r="34" spans="2:14" ht="15">
      <c r="B34" s="16"/>
      <c r="C34" s="20"/>
      <c r="D34" s="13"/>
      <c r="E34" s="26"/>
      <c r="F34" s="20"/>
      <c r="G34" s="20"/>
      <c r="H34" s="20"/>
      <c r="I34" s="336"/>
      <c r="J34" s="336"/>
      <c r="K34" s="336"/>
      <c r="L34" s="337"/>
      <c r="M34" s="18"/>
      <c r="N34" s="337"/>
    </row>
    <row r="35" spans="2:13" ht="15.75">
      <c r="B35" s="93">
        <f>+B32+1</f>
        <v>13</v>
      </c>
      <c r="C35" s="20"/>
      <c r="D35" s="1161" t="s">
        <v>307</v>
      </c>
      <c r="E35" s="1161"/>
      <c r="F35" s="1161"/>
      <c r="G35" s="1161"/>
      <c r="H35" s="1161"/>
      <c r="I35" s="1161"/>
      <c r="J35" s="1161"/>
      <c r="K35" s="1161"/>
      <c r="L35" s="1161"/>
      <c r="M35" s="18"/>
    </row>
    <row r="36" spans="2:13" ht="15">
      <c r="B36" s="93"/>
      <c r="C36" s="20"/>
      <c r="D36" s="13"/>
      <c r="E36" s="26"/>
      <c r="F36" s="20"/>
      <c r="G36" s="20"/>
      <c r="H36" s="20"/>
      <c r="I36" s="336"/>
      <c r="J36" s="336"/>
      <c r="K36" s="336"/>
      <c r="L36" s="337"/>
      <c r="M36" s="18"/>
    </row>
    <row r="37" spans="2:13" ht="15">
      <c r="B37" s="93">
        <f>+B35+1</f>
        <v>14</v>
      </c>
      <c r="C37" s="20"/>
      <c r="D37" s="88" t="s">
        <v>309</v>
      </c>
      <c r="E37" s="26" t="str">
        <f>"Line "&amp;B149&amp;" Below"</f>
        <v>Line 85 Below</v>
      </c>
      <c r="F37" s="20"/>
      <c r="H37" s="20"/>
      <c r="I37" s="336"/>
      <c r="J37" s="336"/>
      <c r="K37" s="336"/>
      <c r="L37" s="129">
        <f>+G149</f>
        <v>50417.87</v>
      </c>
      <c r="M37" s="18"/>
    </row>
    <row r="38" spans="2:13" ht="15">
      <c r="B38" s="93">
        <f>+B37+1</f>
        <v>15</v>
      </c>
      <c r="C38" s="20"/>
      <c r="D38" s="88" t="s">
        <v>392</v>
      </c>
      <c r="E38" s="18"/>
      <c r="F38" s="20"/>
      <c r="H38" s="20"/>
      <c r="I38" s="336"/>
      <c r="J38" s="336"/>
      <c r="K38" s="336"/>
      <c r="L38" s="931">
        <v>0</v>
      </c>
      <c r="M38" s="18"/>
    </row>
    <row r="39" spans="2:13" ht="15">
      <c r="B39" s="93">
        <f>+B38+1</f>
        <v>16</v>
      </c>
      <c r="C39" s="20"/>
      <c r="D39" s="88" t="s">
        <v>393</v>
      </c>
      <c r="E39" s="18"/>
      <c r="F39" s="20"/>
      <c r="H39" s="20"/>
      <c r="I39" s="336"/>
      <c r="J39" s="336"/>
      <c r="K39" s="336"/>
      <c r="L39" s="931">
        <v>0</v>
      </c>
      <c r="M39" s="18"/>
    </row>
    <row r="40" spans="2:13" ht="15">
      <c r="B40" s="93"/>
      <c r="C40" s="20"/>
      <c r="E40" s="18"/>
      <c r="F40" s="20"/>
      <c r="H40" s="20"/>
      <c r="I40" s="336"/>
      <c r="J40" s="336"/>
      <c r="K40" s="336"/>
      <c r="L40" s="20"/>
      <c r="M40" s="18"/>
    </row>
    <row r="41" spans="2:13" ht="15.75" thickBot="1">
      <c r="B41" s="93">
        <f>+B39+1</f>
        <v>17</v>
      </c>
      <c r="C41" s="20"/>
      <c r="D41" s="88" t="s">
        <v>308</v>
      </c>
      <c r="E41" s="28" t="str">
        <f>"(Line "&amp;B37&amp;" - Line "&amp;B38&amp;" - Line "&amp;B39&amp;")"</f>
        <v>(Line 14 - Line 15 - Line 16)</v>
      </c>
      <c r="F41" s="20"/>
      <c r="H41" s="20"/>
      <c r="I41" s="336"/>
      <c r="J41" s="336"/>
      <c r="K41" s="336"/>
      <c r="L41" s="645">
        <f>+L37-L38-L39</f>
        <v>50417.87</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7"/>
    </row>
    <row r="49" spans="2:13" ht="15">
      <c r="B49" s="92"/>
      <c r="C49" s="13"/>
      <c r="D49" s="17"/>
      <c r="E49" s="19"/>
      <c r="F49" s="32" t="str">
        <f>F5</f>
        <v>Utilizing  Historic Cost Data for 2011 and Projected Net Plant at Year-End 2012</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KINGSPORT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716</v>
      </c>
      <c r="E53" s="20" t="s">
        <v>717</v>
      </c>
      <c r="F53" s="20"/>
      <c r="G53" s="20" t="s">
        <v>718</v>
      </c>
      <c r="H53" s="19" t="s">
        <v>709</v>
      </c>
      <c r="I53" s="1148" t="s">
        <v>719</v>
      </c>
      <c r="J53" s="1152"/>
      <c r="K53" s="19"/>
      <c r="L53" s="21" t="s">
        <v>720</v>
      </c>
      <c r="M53" s="19"/>
    </row>
    <row r="54" spans="2:13" ht="15">
      <c r="B54" s="16"/>
      <c r="C54" s="13"/>
      <c r="D54"/>
      <c r="E54"/>
      <c r="F54"/>
      <c r="G54" s="129"/>
      <c r="H54" s="19"/>
      <c r="I54" s="19"/>
      <c r="J54" s="34"/>
      <c r="K54" s="19"/>
      <c r="L54" s="13"/>
      <c r="M54" s="19"/>
    </row>
    <row r="55" spans="2:13" ht="15.75">
      <c r="B55" s="95"/>
      <c r="C55" s="20"/>
      <c r="D55"/>
      <c r="E55" s="35" t="s">
        <v>687</v>
      </c>
      <c r="F55" s="37"/>
      <c r="G55" s="19"/>
      <c r="H55" s="19"/>
      <c r="I55" s="19"/>
      <c r="J55" s="20"/>
      <c r="K55" s="19"/>
      <c r="L55" s="36" t="s">
        <v>713</v>
      </c>
      <c r="M55" s="19"/>
    </row>
    <row r="56" spans="2:13" ht="15.75">
      <c r="B56" s="16"/>
      <c r="C56" s="25"/>
      <c r="D56" s="55" t="s">
        <v>686</v>
      </c>
      <c r="E56" s="118" t="s">
        <v>707</v>
      </c>
      <c r="F56" s="19"/>
      <c r="G56" s="55" t="s">
        <v>673</v>
      </c>
      <c r="H56" s="39"/>
      <c r="I56" s="1146" t="s">
        <v>714</v>
      </c>
      <c r="J56" s="1147"/>
      <c r="K56" s="39"/>
      <c r="L56" s="55" t="s">
        <v>710</v>
      </c>
      <c r="M56" s="19"/>
    </row>
    <row r="57" spans="2:13" ht="15">
      <c r="B57" s="98" t="str">
        <f>B9</f>
        <v>Line</v>
      </c>
      <c r="C57" s="20"/>
      <c r="D57" s="17"/>
      <c r="E57" s="19"/>
      <c r="F57" s="19"/>
      <c r="G57" s="500" t="s">
        <v>210</v>
      </c>
      <c r="H57" s="19"/>
      <c r="I57" s="19"/>
      <c r="J57" s="19"/>
      <c r="K57" s="19"/>
      <c r="L57" s="19"/>
      <c r="M57" s="19"/>
    </row>
    <row r="58" spans="2:13" ht="15.75" thickBot="1">
      <c r="B58" s="94" t="str">
        <f>B10</f>
        <v>No.</v>
      </c>
      <c r="C58" s="20"/>
      <c r="D58" s="17" t="s">
        <v>674</v>
      </c>
      <c r="E58" s="41"/>
      <c r="F58" s="41"/>
      <c r="G58" s="29"/>
      <c r="H58" s="29"/>
      <c r="I58" s="49"/>
      <c r="J58" s="29"/>
      <c r="K58" s="29"/>
      <c r="L58" s="29"/>
      <c r="M58" s="19"/>
    </row>
    <row r="59" spans="2:14" ht="15">
      <c r="B59" s="93">
        <f>+B41+1</f>
        <v>18</v>
      </c>
      <c r="C59" s="20"/>
      <c r="D59" s="42" t="s">
        <v>721</v>
      </c>
      <c r="E59" s="29" t="s">
        <v>567</v>
      </c>
      <c r="F59" s="29"/>
      <c r="G59" s="29">
        <f>+'KGPCo WS A  - RB Support '!E14</f>
        <v>0</v>
      </c>
      <c r="H59" s="123"/>
      <c r="I59" s="49" t="s">
        <v>722</v>
      </c>
      <c r="J59" s="50">
        <f>VLOOKUP(I59,APCo_Proj_Allocators,2,FALSE)</f>
        <v>0</v>
      </c>
      <c r="K59" s="29"/>
      <c r="L59" s="928">
        <f>+J59*G59</f>
        <v>0</v>
      </c>
      <c r="M59" s="19"/>
      <c r="N59" s="612"/>
    </row>
    <row r="60" spans="2:14" ht="15">
      <c r="B60" s="93">
        <f aca="true" t="shared" si="0" ref="B60:B70">+B59+1</f>
        <v>19</v>
      </c>
      <c r="C60" s="20"/>
      <c r="D60" s="42" t="s">
        <v>258</v>
      </c>
      <c r="E60" s="29" t="s">
        <v>568</v>
      </c>
      <c r="F60" s="29"/>
      <c r="G60" s="927">
        <f>-'KGPCo WS A  - RB Support '!E16</f>
        <v>0</v>
      </c>
      <c r="H60" s="123"/>
      <c r="I60" s="49" t="s">
        <v>722</v>
      </c>
      <c r="J60" s="50">
        <f>VLOOKUP(I60,APCo_Proj_Allocators,2,FALSE)</f>
        <v>0</v>
      </c>
      <c r="K60" s="29"/>
      <c r="L60" s="928">
        <f>+J60*G60</f>
        <v>0</v>
      </c>
      <c r="M60" s="19"/>
      <c r="N60" s="612"/>
    </row>
    <row r="61" spans="2:14" ht="15">
      <c r="B61" s="93">
        <f t="shared" si="0"/>
        <v>20</v>
      </c>
      <c r="C61" s="44"/>
      <c r="D61" s="45" t="s">
        <v>723</v>
      </c>
      <c r="E61" s="29" t="str">
        <f>"(Worksheet A ln "&amp;'KGPCo WS A  - RB Support '!A18&amp;".C &amp; Ln "&amp;B229&amp;")"</f>
        <v>(Worksheet A ln 3.C &amp; Ln 142)</v>
      </c>
      <c r="F61" s="29"/>
      <c r="G61" s="29">
        <f>+'KGPCo WS A  - RB Support '!E18</f>
        <v>20264445</v>
      </c>
      <c r="H61" s="123"/>
      <c r="I61" s="301" t="s">
        <v>724</v>
      </c>
      <c r="J61" s="29"/>
      <c r="K61" s="295"/>
      <c r="L61" s="930">
        <f>+L229</f>
        <v>20264445</v>
      </c>
      <c r="M61" s="47"/>
      <c r="N61" s="612"/>
    </row>
    <row r="62" spans="2:14" ht="15">
      <c r="B62" s="93">
        <f t="shared" si="0"/>
        <v>21</v>
      </c>
      <c r="C62" s="44"/>
      <c r="D62" s="61" t="s">
        <v>260</v>
      </c>
      <c r="E62" s="29" t="str">
        <f>"(Worksheet A ln "&amp;'KGPCo WS A  - RB Support '!A20&amp;".C&amp; Ln "&amp;B231&amp;")"</f>
        <v>(Worksheet A ln 4.C&amp; Ln 143)</v>
      </c>
      <c r="F62" s="29"/>
      <c r="G62" s="29">
        <f>-+'KGPCo WS A  - RB Support '!E19</f>
        <v>0</v>
      </c>
      <c r="H62" s="123"/>
      <c r="I62" s="301" t="s">
        <v>715</v>
      </c>
      <c r="J62" s="50">
        <f aca="true" t="shared" si="1" ref="J62:J69">VLOOKUP(I62,APCo_Proj_Allocators,2,FALSE)</f>
        <v>1</v>
      </c>
      <c r="K62" s="295"/>
      <c r="L62" s="930">
        <f>+G62*J62</f>
        <v>0</v>
      </c>
      <c r="M62" s="47"/>
      <c r="N62" s="612"/>
    </row>
    <row r="63" spans="2:14" ht="15">
      <c r="B63" s="93">
        <f t="shared" si="0"/>
        <v>22</v>
      </c>
      <c r="C63" s="44"/>
      <c r="D63" s="494" t="s">
        <v>569</v>
      </c>
      <c r="E63" s="46"/>
      <c r="F63" s="46"/>
      <c r="G63" s="29">
        <f>+'KGPCo WS I Projected Plant'!D34</f>
        <v>3222426.961492453</v>
      </c>
      <c r="H63" s="749"/>
      <c r="I63" s="301" t="s">
        <v>724</v>
      </c>
      <c r="J63" s="50">
        <f t="shared" si="1"/>
        <v>1</v>
      </c>
      <c r="K63" s="295"/>
      <c r="L63" s="930">
        <f>+G63*J63</f>
        <v>3222426.961492453</v>
      </c>
      <c r="M63" s="47"/>
      <c r="N63" s="612"/>
    </row>
    <row r="64" spans="2:14" ht="15">
      <c r="B64" s="93">
        <f t="shared" si="0"/>
        <v>23</v>
      </c>
      <c r="C64" s="44"/>
      <c r="D64" s="494" t="s">
        <v>570</v>
      </c>
      <c r="E64" s="41"/>
      <c r="F64" s="41"/>
      <c r="G64" s="29">
        <f>+'KGPCo WS I Projected Plant'!D37</f>
        <v>0</v>
      </c>
      <c r="H64" s="749"/>
      <c r="I64" s="301" t="s">
        <v>724</v>
      </c>
      <c r="J64" s="50">
        <f t="shared" si="1"/>
        <v>1</v>
      </c>
      <c r="K64" s="19"/>
      <c r="L64" s="930">
        <f>+G64*J64</f>
        <v>0</v>
      </c>
      <c r="M64" s="47"/>
      <c r="N64" s="612"/>
    </row>
    <row r="65" spans="2:14" ht="15">
      <c r="B65" s="93">
        <f t="shared" si="0"/>
        <v>24</v>
      </c>
      <c r="C65" s="44"/>
      <c r="D65" s="17" t="s">
        <v>725</v>
      </c>
      <c r="E65" s="29" t="s">
        <v>571</v>
      </c>
      <c r="F65" s="29"/>
      <c r="G65" s="29">
        <f>+'KGPCo WS A  - RB Support '!E22</f>
        <v>109954977</v>
      </c>
      <c r="H65" s="123"/>
      <c r="I65" s="49" t="s">
        <v>722</v>
      </c>
      <c r="J65" s="50">
        <f t="shared" si="1"/>
        <v>0</v>
      </c>
      <c r="K65" s="29"/>
      <c r="L65" s="928">
        <f>+J65*G65</f>
        <v>0</v>
      </c>
      <c r="M65" s="19"/>
      <c r="N65" s="612"/>
    </row>
    <row r="66" spans="2:14" ht="15">
      <c r="B66" s="93">
        <f t="shared" si="0"/>
        <v>25</v>
      </c>
      <c r="C66" s="44"/>
      <c r="D66" s="42" t="s">
        <v>256</v>
      </c>
      <c r="E66" s="29" t="s">
        <v>572</v>
      </c>
      <c r="F66" s="29"/>
      <c r="G66" s="927">
        <f>-+'KGPCo WS A  - RB Support '!E24</f>
        <v>0</v>
      </c>
      <c r="H66" s="123"/>
      <c r="I66" s="49" t="s">
        <v>722</v>
      </c>
      <c r="J66" s="50">
        <f t="shared" si="1"/>
        <v>0</v>
      </c>
      <c r="K66" s="29"/>
      <c r="L66" s="928">
        <f>+G66*J66</f>
        <v>0</v>
      </c>
      <c r="M66" s="19"/>
      <c r="N66" s="612"/>
    </row>
    <row r="67" spans="2:14" ht="15">
      <c r="B67" s="93">
        <f t="shared" si="0"/>
        <v>26</v>
      </c>
      <c r="C67" s="44"/>
      <c r="D67" s="17" t="s">
        <v>726</v>
      </c>
      <c r="E67" s="29" t="s">
        <v>573</v>
      </c>
      <c r="F67" s="29"/>
      <c r="G67" s="29">
        <f>+'KGPCo WS A  - RB Support '!E26</f>
        <v>2451682</v>
      </c>
      <c r="H67" s="123"/>
      <c r="I67" s="49" t="s">
        <v>727</v>
      </c>
      <c r="J67" s="50">
        <f t="shared" si="1"/>
        <v>0.1151916355991698</v>
      </c>
      <c r="K67" s="29"/>
      <c r="L67" s="928">
        <f>+J67*G67</f>
        <v>282413.2595490438</v>
      </c>
      <c r="M67" s="19"/>
      <c r="N67" s="612"/>
    </row>
    <row r="68" spans="2:14" ht="15">
      <c r="B68" s="93">
        <f t="shared" si="0"/>
        <v>27</v>
      </c>
      <c r="C68" s="44"/>
      <c r="D68" s="42" t="s">
        <v>257</v>
      </c>
      <c r="E68" s="29" t="s">
        <v>574</v>
      </c>
      <c r="F68" s="29"/>
      <c r="G68" s="927">
        <f>-'KGPCo WS A  - RB Support '!E28</f>
        <v>0</v>
      </c>
      <c r="H68" s="123"/>
      <c r="I68" s="49" t="s">
        <v>727</v>
      </c>
      <c r="J68" s="50">
        <f t="shared" si="1"/>
        <v>0.1151916355991698</v>
      </c>
      <c r="K68" s="29"/>
      <c r="L68" s="928">
        <f>+G68*J68</f>
        <v>0</v>
      </c>
      <c r="M68" s="19"/>
      <c r="N68" s="612"/>
    </row>
    <row r="69" spans="2:14" ht="15.75" thickBot="1">
      <c r="B69" s="93">
        <f t="shared" si="0"/>
        <v>28</v>
      </c>
      <c r="C69" s="44"/>
      <c r="D69" s="17" t="s">
        <v>728</v>
      </c>
      <c r="E69" s="29" t="s">
        <v>575</v>
      </c>
      <c r="F69" s="29"/>
      <c r="G69" s="319">
        <f>+'KGPCo WS A  - RB Support '!E30</f>
        <v>1127427</v>
      </c>
      <c r="H69" s="123"/>
      <c r="I69" s="49" t="s">
        <v>727</v>
      </c>
      <c r="J69" s="50">
        <f t="shared" si="1"/>
        <v>0.1151916355991698</v>
      </c>
      <c r="K69" s="29"/>
      <c r="L69" s="929">
        <f>+J69*G69</f>
        <v>129870.1601486652</v>
      </c>
      <c r="M69" s="19"/>
      <c r="N69" s="612"/>
    </row>
    <row r="70" spans="2:14" ht="15.75">
      <c r="B70" s="95">
        <f t="shared" si="0"/>
        <v>29</v>
      </c>
      <c r="C70" s="44"/>
      <c r="D70" s="17" t="s">
        <v>672</v>
      </c>
      <c r="E70" s="20" t="str">
        <f>"(sum lns "&amp;B59&amp;" to "&amp;B69&amp;")"</f>
        <v>(sum lns 18 to 28)</v>
      </c>
      <c r="F70" s="750"/>
      <c r="G70" s="29">
        <f>SUM(G59:G69)</f>
        <v>137020957.96149245</v>
      </c>
      <c r="H70" s="123"/>
      <c r="I70" s="309"/>
      <c r="J70" s="110"/>
      <c r="K70" s="29"/>
      <c r="L70" s="928">
        <f>SUM(L59:L69)</f>
        <v>23899155.381190162</v>
      </c>
      <c r="M70" s="19"/>
      <c r="N70" s="612"/>
    </row>
    <row r="71" spans="2:14" ht="15.75">
      <c r="B71" s="95"/>
      <c r="C71" s="20"/>
      <c r="D71" s="17"/>
      <c r="E71" s="378"/>
      <c r="F71" s="750"/>
      <c r="G71" s="29"/>
      <c r="H71" s="123"/>
      <c r="I71" s="309"/>
      <c r="J71" s="310"/>
      <c r="K71" s="29"/>
      <c r="L71" s="928"/>
      <c r="M71" s="19"/>
      <c r="N71" s="612"/>
    </row>
    <row r="72" spans="2:14" ht="15">
      <c r="B72" s="93">
        <f>+B70+1</f>
        <v>30</v>
      </c>
      <c r="C72" s="20"/>
      <c r="D72" s="17" t="s">
        <v>643</v>
      </c>
      <c r="E72" s="41"/>
      <c r="F72" s="41"/>
      <c r="G72" s="29"/>
      <c r="H72" s="311"/>
      <c r="I72" s="49"/>
      <c r="J72" s="312"/>
      <c r="K72" s="29"/>
      <c r="L72" s="928"/>
      <c r="M72" s="19"/>
      <c r="N72" s="612"/>
    </row>
    <row r="73" spans="2:14" ht="15">
      <c r="B73" s="93">
        <f aca="true" t="shared" si="2" ref="B73:B87">+B72+1</f>
        <v>31</v>
      </c>
      <c r="C73" s="20"/>
      <c r="D73" s="42" t="str">
        <f>+D59</f>
        <v>  Production</v>
      </c>
      <c r="E73" s="29" t="s">
        <v>576</v>
      </c>
      <c r="F73" s="29"/>
      <c r="G73" s="29">
        <f>+'KGPCo WS A  - RB Support '!E38</f>
        <v>0</v>
      </c>
      <c r="H73" s="123"/>
      <c r="I73" s="49" t="s">
        <v>722</v>
      </c>
      <c r="J73" s="50">
        <f>VLOOKUP(I73,APCo_Proj_Allocators,2,FALSE)</f>
        <v>0</v>
      </c>
      <c r="K73" s="29"/>
      <c r="L73" s="928">
        <f>+J73*G73</f>
        <v>0</v>
      </c>
      <c r="M73" s="19"/>
      <c r="N73" s="612"/>
    </row>
    <row r="74" spans="2:14" ht="15">
      <c r="B74" s="93">
        <f t="shared" si="2"/>
        <v>32</v>
      </c>
      <c r="C74" s="20"/>
      <c r="D74" s="42" t="s">
        <v>258</v>
      </c>
      <c r="E74" s="29" t="s">
        <v>577</v>
      </c>
      <c r="F74" s="29"/>
      <c r="G74" s="927">
        <f>-+'KGPCo WS A  - RB Support '!E40</f>
        <v>0</v>
      </c>
      <c r="H74" s="123"/>
      <c r="I74" s="49" t="s">
        <v>722</v>
      </c>
      <c r="J74" s="50">
        <f>VLOOKUP(I74,APCo_Proj_Allocators,2,FALSE)</f>
        <v>0</v>
      </c>
      <c r="K74" s="29"/>
      <c r="L74" s="928">
        <f>+J74*G74</f>
        <v>0</v>
      </c>
      <c r="M74" s="19"/>
      <c r="N74" s="612"/>
    </row>
    <row r="75" spans="2:14" ht="15.75">
      <c r="B75" s="93">
        <f t="shared" si="2"/>
        <v>33</v>
      </c>
      <c r="C75" s="44"/>
      <c r="D75" s="45" t="str">
        <f>D61</f>
        <v>  Transmission</v>
      </c>
      <c r="E75" s="29" t="s">
        <v>578</v>
      </c>
      <c r="F75" s="29"/>
      <c r="G75" s="295">
        <f>+'KGPCo WS A  - RB Support '!E42</f>
        <v>10204475</v>
      </c>
      <c r="H75" s="123"/>
      <c r="I75" s="313" t="s">
        <v>647</v>
      </c>
      <c r="J75" s="314">
        <f>L75/G75</f>
        <v>1</v>
      </c>
      <c r="K75" s="295"/>
      <c r="L75" s="928">
        <f>+'KGPCo WS A  - RB Support '!E74</f>
        <v>10204475</v>
      </c>
      <c r="M75" s="47"/>
      <c r="N75" s="612"/>
    </row>
    <row r="76" spans="2:14" ht="15.75">
      <c r="B76" s="93">
        <f t="shared" si="2"/>
        <v>34</v>
      </c>
      <c r="C76" s="44"/>
      <c r="D76" s="42" t="s">
        <v>260</v>
      </c>
      <c r="E76" s="29" t="s">
        <v>579</v>
      </c>
      <c r="F76" s="29"/>
      <c r="G76" s="927">
        <f>-'KGPCo WS A  - RB Support '!E44</f>
        <v>0</v>
      </c>
      <c r="H76" s="123"/>
      <c r="I76" s="313" t="s">
        <v>647</v>
      </c>
      <c r="J76" s="50">
        <f>+J75</f>
        <v>1</v>
      </c>
      <c r="K76" s="295"/>
      <c r="L76" s="928">
        <f aca="true" t="shared" si="3" ref="L76:L81">+G76*J76</f>
        <v>0</v>
      </c>
      <c r="M76" s="47"/>
      <c r="N76" s="612"/>
    </row>
    <row r="77" spans="2:14" ht="15">
      <c r="B77" s="93">
        <f t="shared" si="2"/>
        <v>35</v>
      </c>
      <c r="C77" s="44"/>
      <c r="D77" s="494" t="s">
        <v>580</v>
      </c>
      <c r="E77" s="46"/>
      <c r="F77" s="46"/>
      <c r="G77" s="927">
        <f>+'KGPCo WS I Projected Plant'!I34</f>
        <v>40931</v>
      </c>
      <c r="H77" s="103"/>
      <c r="I77" s="301" t="s">
        <v>724</v>
      </c>
      <c r="J77" s="50">
        <f aca="true" t="shared" si="4" ref="J77:J86">VLOOKUP(I77,APCo_Proj_Allocators,2,FALSE)</f>
        <v>1</v>
      </c>
      <c r="K77" s="295"/>
      <c r="L77" s="928">
        <f t="shared" si="3"/>
        <v>40931</v>
      </c>
      <c r="M77" s="47"/>
      <c r="N77" s="612"/>
    </row>
    <row r="78" spans="2:14" ht="15">
      <c r="B78" s="93">
        <f t="shared" si="2"/>
        <v>36</v>
      </c>
      <c r="C78" s="44"/>
      <c r="D78" s="494" t="s">
        <v>581</v>
      </c>
      <c r="E78" s="46"/>
      <c r="F78" s="46"/>
      <c r="G78" s="927">
        <f>+'KGPCo WS I Projected Plant'!D40</f>
        <v>0</v>
      </c>
      <c r="H78" s="103"/>
      <c r="I78" s="301" t="s">
        <v>724</v>
      </c>
      <c r="J78" s="50">
        <f t="shared" si="4"/>
        <v>1</v>
      </c>
      <c r="K78" s="295"/>
      <c r="L78" s="928">
        <f t="shared" si="3"/>
        <v>0</v>
      </c>
      <c r="M78" s="47"/>
      <c r="N78" s="612"/>
    </row>
    <row r="79" spans="2:14" ht="15">
      <c r="B79" s="93">
        <f t="shared" si="2"/>
        <v>37</v>
      </c>
      <c r="C79" s="44"/>
      <c r="D79" s="494" t="str">
        <f>"     Plus: Additional Transmission Depreciation for "&amp;'KGPCo Historic TCOS'!O2&amp;"  (ln "&amp;B178&amp;")"</f>
        <v>     Plus: Additional Transmission Depreciation for 2012  (ln 111)</v>
      </c>
      <c r="E79" s="46"/>
      <c r="F79" s="46"/>
      <c r="G79" s="927">
        <f>+G178</f>
        <v>487251</v>
      </c>
      <c r="H79" s="103"/>
      <c r="I79" s="584" t="s">
        <v>646</v>
      </c>
      <c r="J79" s="50">
        <f t="shared" si="4"/>
        <v>1</v>
      </c>
      <c r="K79" s="295"/>
      <c r="L79" s="928">
        <f t="shared" si="3"/>
        <v>487251</v>
      </c>
      <c r="M79" s="47"/>
      <c r="N79" s="612"/>
    </row>
    <row r="80" spans="2:14" ht="15">
      <c r="B80" s="93">
        <f t="shared" si="2"/>
        <v>38</v>
      </c>
      <c r="C80" s="44"/>
      <c r="D80" s="495" t="str">
        <f>"     Plus: Additional General &amp; Intangible Depreciation for "&amp;'KGPCo Historic TCOS'!O2&amp;" (ln "&amp;B180&amp;" + ln "&amp;B181&amp;")"</f>
        <v>     Plus: Additional General &amp; Intangible Depreciation for 2012 (ln 113 + ln 114)</v>
      </c>
      <c r="E80" s="46"/>
      <c r="F80" s="46"/>
      <c r="G80" s="927">
        <f>+G180+G181</f>
        <v>158658</v>
      </c>
      <c r="H80" s="103"/>
      <c r="I80" s="301" t="s">
        <v>727</v>
      </c>
      <c r="J80" s="50">
        <f t="shared" si="4"/>
        <v>0.1151916355991698</v>
      </c>
      <c r="K80" s="295"/>
      <c r="L80" s="928">
        <f t="shared" si="3"/>
        <v>18276.074520893082</v>
      </c>
      <c r="M80" s="47"/>
      <c r="N80" s="612"/>
    </row>
    <row r="81" spans="2:14" ht="15">
      <c r="B81" s="93">
        <f t="shared" si="2"/>
        <v>39</v>
      </c>
      <c r="C81" s="44"/>
      <c r="D81" s="494" t="s">
        <v>582</v>
      </c>
      <c r="E81" s="46"/>
      <c r="F81" s="46"/>
      <c r="G81" s="927">
        <f>+'KGPCo WS I Projected Plant'!D38</f>
        <v>0</v>
      </c>
      <c r="H81" s="103"/>
      <c r="I81" s="301" t="s">
        <v>724</v>
      </c>
      <c r="J81" s="50">
        <f t="shared" si="4"/>
        <v>1</v>
      </c>
      <c r="K81" s="295"/>
      <c r="L81" s="928">
        <f t="shared" si="3"/>
        <v>0</v>
      </c>
      <c r="M81" s="47"/>
      <c r="N81" s="612"/>
    </row>
    <row r="82" spans="2:14" ht="15">
      <c r="B82" s="93">
        <f t="shared" si="2"/>
        <v>40</v>
      </c>
      <c r="C82" s="44"/>
      <c r="D82" s="17" t="str">
        <f>+D65</f>
        <v>  Distribution</v>
      </c>
      <c r="E82" s="29" t="s">
        <v>583</v>
      </c>
      <c r="F82" s="29"/>
      <c r="G82" s="29">
        <f>+'KGPCo WS A  - RB Support '!E46</f>
        <v>42425418</v>
      </c>
      <c r="H82" s="123"/>
      <c r="I82" s="49" t="s">
        <v>722</v>
      </c>
      <c r="J82" s="50">
        <f t="shared" si="4"/>
        <v>0</v>
      </c>
      <c r="K82" s="29"/>
      <c r="L82" s="928">
        <f>+J82*G82</f>
        <v>0</v>
      </c>
      <c r="M82" s="19"/>
      <c r="N82" s="612"/>
    </row>
    <row r="83" spans="2:14" ht="15">
      <c r="B83" s="93">
        <f t="shared" si="2"/>
        <v>41</v>
      </c>
      <c r="C83" s="44"/>
      <c r="D83" s="42" t="s">
        <v>256</v>
      </c>
      <c r="E83" s="29" t="s">
        <v>584</v>
      </c>
      <c r="F83" s="29"/>
      <c r="G83" s="927">
        <f>-'KGPCo WS A  - RB Support '!E48</f>
        <v>0</v>
      </c>
      <c r="H83" s="123"/>
      <c r="I83" s="49" t="s">
        <v>722</v>
      </c>
      <c r="J83" s="50">
        <f t="shared" si="4"/>
        <v>0</v>
      </c>
      <c r="K83" s="29"/>
      <c r="L83" s="928">
        <f>+J83*G83</f>
        <v>0</v>
      </c>
      <c r="M83" s="19"/>
      <c r="N83" s="612"/>
    </row>
    <row r="84" spans="2:14" ht="15">
      <c r="B84" s="93">
        <f t="shared" si="2"/>
        <v>42</v>
      </c>
      <c r="C84" s="212"/>
      <c r="D84" s="57" t="str">
        <f>+D67</f>
        <v>  General Plant   </v>
      </c>
      <c r="E84" s="29" t="s">
        <v>585</v>
      </c>
      <c r="F84" s="29"/>
      <c r="G84" s="72">
        <f>+'KGPCo WS A  - RB Support '!E50</f>
        <v>661283</v>
      </c>
      <c r="H84" s="123"/>
      <c r="I84" s="49" t="s">
        <v>727</v>
      </c>
      <c r="J84" s="50">
        <f t="shared" si="4"/>
        <v>0.1151916355991698</v>
      </c>
      <c r="K84" s="29"/>
      <c r="L84" s="928">
        <f>+J84*G84</f>
        <v>76174.2703639258</v>
      </c>
      <c r="M84" s="19"/>
      <c r="N84" s="612"/>
    </row>
    <row r="85" spans="2:14" ht="15">
      <c r="B85" s="93">
        <f t="shared" si="2"/>
        <v>43</v>
      </c>
      <c r="C85" s="212"/>
      <c r="D85" s="42" t="s">
        <v>257</v>
      </c>
      <c r="E85" s="29" t="s">
        <v>586</v>
      </c>
      <c r="F85" s="29"/>
      <c r="G85" s="927">
        <f>-'KGPCo WS A  - RB Support '!E52</f>
        <v>0</v>
      </c>
      <c r="H85" s="123"/>
      <c r="I85" s="49" t="s">
        <v>727</v>
      </c>
      <c r="J85" s="50">
        <f t="shared" si="4"/>
        <v>0.1151916355991698</v>
      </c>
      <c r="K85" s="29"/>
      <c r="L85" s="928">
        <f>+J85*G85</f>
        <v>0</v>
      </c>
      <c r="M85" s="19"/>
      <c r="N85" s="612"/>
    </row>
    <row r="86" spans="2:14" ht="15.75" thickBot="1">
      <c r="B86" s="93">
        <f t="shared" si="2"/>
        <v>44</v>
      </c>
      <c r="C86" s="212"/>
      <c r="D86" s="57" t="str">
        <f>+D69</f>
        <v>  Intangible Plant</v>
      </c>
      <c r="E86" s="29" t="s">
        <v>587</v>
      </c>
      <c r="F86" s="29"/>
      <c r="G86" s="319">
        <f>+'KGPCo WS A  - RB Support '!E54</f>
        <v>1473219</v>
      </c>
      <c r="H86" s="123"/>
      <c r="I86" s="49" t="s">
        <v>727</v>
      </c>
      <c r="J86" s="50">
        <f t="shared" si="4"/>
        <v>0.1151916355991698</v>
      </c>
      <c r="K86" s="29"/>
      <c r="L86" s="929">
        <f>+J86*G86</f>
        <v>169702.50620577333</v>
      </c>
      <c r="M86" s="29"/>
      <c r="N86" s="612"/>
    </row>
    <row r="87" spans="2:14" ht="15">
      <c r="B87" s="93">
        <f t="shared" si="2"/>
        <v>45</v>
      </c>
      <c r="C87" s="212"/>
      <c r="D87" s="57" t="s">
        <v>671</v>
      </c>
      <c r="E87" s="266" t="str">
        <f>"(sum lns "&amp;B73&amp;" to "&amp;B86&amp;")"</f>
        <v>(sum lns 31 to 44)</v>
      </c>
      <c r="F87" s="454"/>
      <c r="G87" s="123">
        <f>SUM(G73:G86)</f>
        <v>55451235</v>
      </c>
      <c r="H87" s="123"/>
      <c r="I87" s="49"/>
      <c r="J87" s="29"/>
      <c r="K87" s="123"/>
      <c r="L87" s="123">
        <f>SUM(L73:L86)</f>
        <v>10996809.851090591</v>
      </c>
      <c r="M87" s="19"/>
      <c r="N87" s="612"/>
    </row>
    <row r="88" spans="2:14" ht="15">
      <c r="B88" s="93"/>
      <c r="C88" s="20"/>
      <c r="D88" s="13"/>
      <c r="E88" s="751"/>
      <c r="F88" s="454"/>
      <c r="G88" s="123"/>
      <c r="H88" s="123"/>
      <c r="I88" s="49"/>
      <c r="J88" s="315"/>
      <c r="K88" s="29"/>
      <c r="L88" s="123"/>
      <c r="M88" s="19"/>
      <c r="N88" s="612"/>
    </row>
    <row r="89" spans="2:14" ht="15">
      <c r="B89" s="93">
        <f>+B87+1</f>
        <v>46</v>
      </c>
      <c r="C89" s="20"/>
      <c r="D89" s="17" t="s">
        <v>675</v>
      </c>
      <c r="E89" s="41"/>
      <c r="F89" s="41"/>
      <c r="G89" s="123"/>
      <c r="H89" s="123"/>
      <c r="I89" s="49"/>
      <c r="J89" s="29"/>
      <c r="K89" s="29"/>
      <c r="L89" s="123"/>
      <c r="M89" s="19"/>
      <c r="N89" s="612"/>
    </row>
    <row r="90" spans="2:14" ht="15">
      <c r="B90" s="95">
        <f aca="true" t="shared" si="5" ref="B90:B100">+B89+1</f>
        <v>47</v>
      </c>
      <c r="C90" s="44"/>
      <c r="D90" s="42" t="str">
        <f>+D73</f>
        <v>  Production</v>
      </c>
      <c r="E90" s="29" t="str">
        <f>" (ln "&amp;B59&amp;" + ln "&amp;B60&amp;" - ln "&amp;B73&amp;" - ln "&amp;B74&amp;")"</f>
        <v> (ln 18 + ln 19 - ln 31 - ln 32)</v>
      </c>
      <c r="F90" s="29"/>
      <c r="G90" s="928">
        <f>G59+G60-G73-G74</f>
        <v>0</v>
      </c>
      <c r="H90" s="123"/>
      <c r="I90" s="49"/>
      <c r="J90" s="316"/>
      <c r="K90" s="29"/>
      <c r="L90" s="928">
        <f>L59+L60-L73-L74</f>
        <v>0</v>
      </c>
      <c r="M90" s="19"/>
      <c r="N90" s="612"/>
    </row>
    <row r="91" spans="2:14" ht="15">
      <c r="B91" s="95">
        <f t="shared" si="5"/>
        <v>48</v>
      </c>
      <c r="C91" s="44"/>
      <c r="D91" s="42" t="str">
        <f>+D75</f>
        <v>  Transmission</v>
      </c>
      <c r="E91" s="29" t="s">
        <v>588</v>
      </c>
      <c r="F91" s="29"/>
      <c r="G91" s="928">
        <f>+G61+G62-G75-G76</f>
        <v>10059970</v>
      </c>
      <c r="H91" s="123"/>
      <c r="I91" s="49"/>
      <c r="J91" s="314"/>
      <c r="K91" s="29"/>
      <c r="L91" s="928">
        <f>+L61+L62-L75-L76</f>
        <v>10059970</v>
      </c>
      <c r="M91" s="19"/>
      <c r="N91" s="612"/>
    </row>
    <row r="92" spans="2:14" ht="15">
      <c r="B92" s="95">
        <f t="shared" si="5"/>
        <v>49</v>
      </c>
      <c r="C92" s="44"/>
      <c r="D92" s="45" t="str">
        <f>"     Plus: Transmission Plant-in-Service Additions (ln "&amp;B63&amp;" - ln "&amp;B77&amp;")"</f>
        <v>     Plus: Transmission Plant-in-Service Additions (ln 22 - ln 35)</v>
      </c>
      <c r="E92" s="29"/>
      <c r="F92" s="29"/>
      <c r="G92" s="930">
        <f>+G63-G77</f>
        <v>3181495.961492453</v>
      </c>
      <c r="H92" s="123"/>
      <c r="I92" s="49"/>
      <c r="J92" s="314"/>
      <c r="K92" s="29"/>
      <c r="L92" s="930">
        <f>+L63-L77</f>
        <v>3181495.961492453</v>
      </c>
      <c r="M92" s="19"/>
      <c r="N92" s="612"/>
    </row>
    <row r="93" spans="2:14" ht="15">
      <c r="B93" s="95">
        <f t="shared" si="5"/>
        <v>50</v>
      </c>
      <c r="C93" s="44"/>
      <c r="D93" s="45" t="str">
        <f>"     Plus: Additional Trans Plant on Transferred Assets  (ln "&amp;B64&amp;" - ln "&amp;B78&amp;")"</f>
        <v>     Plus: Additional Trans Plant on Transferred Assets  (ln 23 - ln 36)</v>
      </c>
      <c r="E93" s="29"/>
      <c r="F93" s="29"/>
      <c r="G93" s="930">
        <f>+G64-G78</f>
        <v>0</v>
      </c>
      <c r="H93" s="123"/>
      <c r="I93" s="49"/>
      <c r="J93" s="314"/>
      <c r="K93" s="29"/>
      <c r="L93" s="930">
        <f>+L64-L78</f>
        <v>0</v>
      </c>
      <c r="M93" s="19"/>
      <c r="N93" s="612"/>
    </row>
    <row r="94" spans="2:14" ht="15">
      <c r="B94" s="95">
        <f t="shared" si="5"/>
        <v>51</v>
      </c>
      <c r="C94" s="44"/>
      <c r="D94" s="494" t="str">
        <f>"     Plus: Additional Transmission Depreciation for "&amp;'KGPCo Historic TCOS'!O2&amp;"  (-ln "&amp;B79&amp;")"</f>
        <v>     Plus: Additional Transmission Depreciation for 2012  (-ln 37)</v>
      </c>
      <c r="E94" s="29"/>
      <c r="F94" s="29"/>
      <c r="G94" s="930">
        <f>-G79</f>
        <v>-487251</v>
      </c>
      <c r="H94" s="123"/>
      <c r="I94" s="49"/>
      <c r="J94" s="314"/>
      <c r="K94" s="29"/>
      <c r="L94" s="930">
        <f>-L79</f>
        <v>-487251</v>
      </c>
      <c r="M94" s="19"/>
      <c r="N94" s="612"/>
    </row>
    <row r="95" spans="2:14" ht="15">
      <c r="B95" s="95">
        <f t="shared" si="5"/>
        <v>52</v>
      </c>
      <c r="C95" s="44"/>
      <c r="D95" s="495" t="str">
        <f>"     Plus: Additional General &amp; Intangible Depreciation for "&amp;'KGPCo Historic TCOS'!O2&amp;" (-ln "&amp;B80&amp;")"</f>
        <v>     Plus: Additional General &amp; Intangible Depreciation for 2012 (-ln 38)</v>
      </c>
      <c r="E95" s="29"/>
      <c r="F95" s="29"/>
      <c r="G95" s="930">
        <f>-G80</f>
        <v>-158658</v>
      </c>
      <c r="H95" s="123"/>
      <c r="I95" s="49"/>
      <c r="J95" s="314"/>
      <c r="K95" s="29"/>
      <c r="L95" s="930">
        <f>-L80</f>
        <v>-18276.074520893082</v>
      </c>
      <c r="M95" s="19"/>
      <c r="N95" s="612"/>
    </row>
    <row r="96" spans="2:14" ht="15">
      <c r="B96" s="95">
        <f t="shared" si="5"/>
        <v>53</v>
      </c>
      <c r="C96" s="44"/>
      <c r="D96" s="494" t="str">
        <f>"     Plus: Additional Accum Deprec on Transferred Assets (Worksheet I) (-ln "&amp;B81&amp;")"</f>
        <v>     Plus: Additional Accum Deprec on Transferred Assets (Worksheet I) (-ln 39)</v>
      </c>
      <c r="E96" s="29"/>
      <c r="F96" s="29"/>
      <c r="G96" s="930">
        <f>-G81</f>
        <v>0</v>
      </c>
      <c r="H96" s="123"/>
      <c r="I96" s="49"/>
      <c r="J96" s="314"/>
      <c r="K96" s="29"/>
      <c r="L96" s="930">
        <f>-L81</f>
        <v>0</v>
      </c>
      <c r="M96" s="19"/>
      <c r="N96" s="612"/>
    </row>
    <row r="97" spans="2:14" ht="15">
      <c r="B97" s="95">
        <f t="shared" si="5"/>
        <v>54</v>
      </c>
      <c r="C97" s="44"/>
      <c r="D97" s="42" t="str">
        <f>+D82</f>
        <v>  Distribution</v>
      </c>
      <c r="E97" s="29" t="str">
        <f>" (ln "&amp;B65&amp;" + ln "&amp;B66&amp;" - ln "&amp;B82&amp;" - ln "&amp;B83&amp;")"</f>
        <v> (ln 24 + ln 25 - ln 40 - ln 41)</v>
      </c>
      <c r="F97" s="29"/>
      <c r="G97" s="928">
        <f>+G65+G66-G82-G83</f>
        <v>67529559</v>
      </c>
      <c r="H97" s="123"/>
      <c r="I97" s="49"/>
      <c r="J97" s="315"/>
      <c r="K97" s="29"/>
      <c r="L97" s="928">
        <f>+L65+L66-L82-L83</f>
        <v>0</v>
      </c>
      <c r="M97" s="19"/>
      <c r="N97" s="612"/>
    </row>
    <row r="98" spans="2:14" ht="15">
      <c r="B98" s="95">
        <f t="shared" si="5"/>
        <v>55</v>
      </c>
      <c r="C98" s="44"/>
      <c r="D98" s="42" t="str">
        <f>+D84</f>
        <v>  General Plant   </v>
      </c>
      <c r="E98" s="29" t="str">
        <f>" (ln "&amp;B67&amp;" + ln "&amp;B68&amp;" - ln "&amp;B84&amp;" - ln "&amp;B85&amp;")"</f>
        <v> (ln 26 + ln 27 - ln 42 - ln 43)</v>
      </c>
      <c r="F98" s="29"/>
      <c r="G98" s="928">
        <f>+G67+G68-G84-G85</f>
        <v>1790399</v>
      </c>
      <c r="H98" s="123"/>
      <c r="I98" s="49"/>
      <c r="J98" s="315"/>
      <c r="K98" s="29"/>
      <c r="L98" s="928">
        <f>+L67+L68-L84-L85</f>
        <v>206238.989185118</v>
      </c>
      <c r="M98" s="19"/>
      <c r="N98" s="612"/>
    </row>
    <row r="99" spans="2:14" ht="15.75" thickBot="1">
      <c r="B99" s="95">
        <f t="shared" si="5"/>
        <v>56</v>
      </c>
      <c r="C99" s="44"/>
      <c r="D99" s="42" t="str">
        <f>+D86</f>
        <v>  Intangible Plant</v>
      </c>
      <c r="E99" s="29" t="str">
        <f>" (ln "&amp;B69&amp;" - ln "&amp;B86&amp;")"</f>
        <v> (ln 28 - ln 44)</v>
      </c>
      <c r="F99" s="29"/>
      <c r="G99" s="929">
        <f>+G69-G86</f>
        <v>-345792</v>
      </c>
      <c r="H99" s="123"/>
      <c r="I99" s="49"/>
      <c r="J99" s="315"/>
      <c r="K99" s="29"/>
      <c r="L99" s="929">
        <f>+L69-L86</f>
        <v>-39832.34605710812</v>
      </c>
      <c r="M99" s="19"/>
      <c r="N99" s="612"/>
    </row>
    <row r="100" spans="2:14" ht="15.75">
      <c r="B100" s="95">
        <f t="shared" si="5"/>
        <v>57</v>
      </c>
      <c r="C100" s="44"/>
      <c r="D100" s="42" t="s">
        <v>670</v>
      </c>
      <c r="E100" s="42" t="str">
        <f>"(sum lns "&amp;B90&amp;" to "&amp;B99&amp;")"</f>
        <v>(sum lns 47 to 56)</v>
      </c>
      <c r="F100" s="29"/>
      <c r="G100" s="123">
        <f>SUM(G90:G99)</f>
        <v>81569722.96149245</v>
      </c>
      <c r="H100" s="123"/>
      <c r="I100" s="265"/>
      <c r="J100" s="110"/>
      <c r="K100" s="29"/>
      <c r="L100" s="123">
        <f>SUM(L91:L99)</f>
        <v>12902345.530099569</v>
      </c>
      <c r="M100" s="19"/>
      <c r="N100" s="612"/>
    </row>
    <row r="101" spans="2:14" ht="15">
      <c r="B101" s="93"/>
      <c r="C101" s="20"/>
      <c r="D101" s="17"/>
      <c r="E101" s="29"/>
      <c r="F101" s="29"/>
      <c r="G101" s="123"/>
      <c r="H101" s="123"/>
      <c r="I101" s="15"/>
      <c r="J101" s="317"/>
      <c r="K101" s="29"/>
      <c r="L101" s="123"/>
      <c r="M101" s="19"/>
      <c r="N101" s="612"/>
    </row>
    <row r="102" spans="2:14" ht="15">
      <c r="B102" s="93"/>
      <c r="C102" s="20"/>
      <c r="D102" s="13"/>
      <c r="G102" s="103"/>
      <c r="H102" s="103"/>
      <c r="I102" s="103"/>
      <c r="J102" s="103"/>
      <c r="K102" s="103"/>
      <c r="L102" s="103"/>
      <c r="M102"/>
      <c r="N102" s="612"/>
    </row>
    <row r="103" spans="2:14" ht="15">
      <c r="B103" s="93">
        <f>+B100+1</f>
        <v>58</v>
      </c>
      <c r="C103" s="20"/>
      <c r="D103" s="17" t="s">
        <v>180</v>
      </c>
      <c r="E103" s="29" t="s">
        <v>158</v>
      </c>
      <c r="F103" s="49"/>
      <c r="G103" s="103"/>
      <c r="H103" s="103"/>
      <c r="I103" s="103"/>
      <c r="J103" s="103"/>
      <c r="K103" s="103"/>
      <c r="L103" s="103"/>
      <c r="M103"/>
      <c r="N103" s="612"/>
    </row>
    <row r="104" spans="2:14" ht="15">
      <c r="B104" s="95">
        <f aca="true" t="shared" si="6" ref="B104:B109">+B103+1</f>
        <v>59</v>
      </c>
      <c r="C104" s="44"/>
      <c r="D104" s="61" t="s">
        <v>867</v>
      </c>
      <c r="E104" s="29" t="s">
        <v>589</v>
      </c>
      <c r="F104" s="29"/>
      <c r="G104" s="928">
        <f>-'KGPCo WS B ADIT &amp; ITC'!E15</f>
        <v>0</v>
      </c>
      <c r="H104" s="123"/>
      <c r="I104" s="49" t="s">
        <v>722</v>
      </c>
      <c r="J104" s="50"/>
      <c r="K104" s="29"/>
      <c r="L104" s="928">
        <f>-'KGPCo WS B ADIT &amp; ITC'!E18</f>
        <v>0</v>
      </c>
      <c r="M104" s="19"/>
      <c r="N104" s="612"/>
    </row>
    <row r="105" spans="2:14" ht="15">
      <c r="B105" s="95">
        <f t="shared" si="6"/>
        <v>60</v>
      </c>
      <c r="C105" s="44"/>
      <c r="D105" s="61" t="s">
        <v>870</v>
      </c>
      <c r="E105" s="29" t="s">
        <v>590</v>
      </c>
      <c r="F105" s="29"/>
      <c r="G105" s="928">
        <f>-'KGPCo WS B ADIT &amp; ITC'!E23</f>
        <v>-15192403</v>
      </c>
      <c r="H105" s="123"/>
      <c r="I105" s="49" t="s">
        <v>724</v>
      </c>
      <c r="J105" s="50"/>
      <c r="K105" s="29"/>
      <c r="L105" s="928">
        <f>-'KGPCo WS B ADIT &amp; ITC'!E26</f>
        <v>-2584618</v>
      </c>
      <c r="M105" s="19"/>
      <c r="N105" s="612"/>
    </row>
    <row r="106" spans="2:14" ht="15">
      <c r="B106" s="95">
        <f t="shared" si="6"/>
        <v>61</v>
      </c>
      <c r="C106" s="44"/>
      <c r="D106" s="61" t="s">
        <v>871</v>
      </c>
      <c r="E106" s="29" t="s">
        <v>591</v>
      </c>
      <c r="F106" s="29"/>
      <c r="G106" s="928">
        <f>-'KGPCo WS B ADIT &amp; ITC'!E31</f>
        <v>-1803691</v>
      </c>
      <c r="H106" s="123"/>
      <c r="I106" s="49" t="s">
        <v>724</v>
      </c>
      <c r="J106" s="50"/>
      <c r="K106" s="29"/>
      <c r="L106" s="928">
        <f>-'KGPCo WS B ADIT &amp; ITC'!E34</f>
        <v>-247484</v>
      </c>
      <c r="M106" s="19"/>
      <c r="N106" s="612"/>
    </row>
    <row r="107" spans="2:14" ht="15">
      <c r="B107" s="95">
        <f t="shared" si="6"/>
        <v>62</v>
      </c>
      <c r="C107" s="44"/>
      <c r="D107" s="61" t="s">
        <v>872</v>
      </c>
      <c r="E107" s="29" t="s">
        <v>592</v>
      </c>
      <c r="F107" s="29"/>
      <c r="G107" s="928">
        <f>+'KGPCo WS B ADIT &amp; ITC'!E39</f>
        <v>960179</v>
      </c>
      <c r="H107" s="123"/>
      <c r="I107" s="49" t="s">
        <v>724</v>
      </c>
      <c r="J107" s="50"/>
      <c r="K107" s="29"/>
      <c r="L107" s="928">
        <f>+'KGPCo WS B ADIT &amp; ITC'!E42</f>
        <v>116792</v>
      </c>
      <c r="M107" s="19"/>
      <c r="N107" s="612"/>
    </row>
    <row r="108" spans="2:14" ht="15.75" thickBot="1">
      <c r="B108" s="95">
        <f t="shared" si="6"/>
        <v>63</v>
      </c>
      <c r="C108" s="44"/>
      <c r="D108" s="51" t="s">
        <v>729</v>
      </c>
      <c r="E108" s="29" t="s">
        <v>593</v>
      </c>
      <c r="F108" s="15"/>
      <c r="G108" s="929">
        <f>-+'KGPCo WS B ADIT &amp; ITC'!E49</f>
        <v>-107557</v>
      </c>
      <c r="H108" s="123"/>
      <c r="I108" s="49" t="s">
        <v>724</v>
      </c>
      <c r="J108" s="50"/>
      <c r="K108" s="29"/>
      <c r="L108" s="929">
        <f>-+'KGPCo WS B ADIT &amp; ITC'!E50</f>
        <v>-22844</v>
      </c>
      <c r="M108" s="52"/>
      <c r="N108" s="612"/>
    </row>
    <row r="109" spans="2:14" ht="15">
      <c r="B109" s="95">
        <f t="shared" si="6"/>
        <v>64</v>
      </c>
      <c r="C109" s="44"/>
      <c r="D109" s="42" t="s">
        <v>684</v>
      </c>
      <c r="E109" s="42" t="str">
        <f>"(sum lns "&amp;B104&amp;" to "&amp;B108&amp;")"</f>
        <v>(sum lns 59 to 63)</v>
      </c>
      <c r="F109" s="29"/>
      <c r="G109" s="123">
        <f>SUM(G104:G108)</f>
        <v>-16143472</v>
      </c>
      <c r="H109" s="102"/>
      <c r="I109" s="49"/>
      <c r="J109" s="318"/>
      <c r="K109" s="29"/>
      <c r="L109" s="123">
        <f>SUM(L104:L108)</f>
        <v>-2738154</v>
      </c>
      <c r="M109" s="19"/>
      <c r="N109" s="612"/>
    </row>
    <row r="110" spans="2:14" ht="15">
      <c r="B110" s="93"/>
      <c r="C110" s="20"/>
      <c r="D110" s="42"/>
      <c r="E110" s="29"/>
      <c r="F110" s="29"/>
      <c r="G110" s="123"/>
      <c r="H110" s="102"/>
      <c r="I110" s="49"/>
      <c r="J110" s="315"/>
      <c r="K110" s="29"/>
      <c r="L110" s="123"/>
      <c r="M110" s="19"/>
      <c r="N110" s="612"/>
    </row>
    <row r="111" spans="2:14" ht="15">
      <c r="B111" s="93">
        <f>+B109+1</f>
        <v>65</v>
      </c>
      <c r="C111" s="20"/>
      <c r="D111" s="42" t="s">
        <v>887</v>
      </c>
      <c r="E111" s="29" t="str">
        <f>"(Worksheet A ln "&amp;'KGPCo WS A  - RB Support '!A78&amp;".C &amp; ln "&amp;'KGPCo WS A  - RB Support '!A80&amp;".C)"</f>
        <v>(Worksheet A ln 29.C &amp; ln 30.C)</v>
      </c>
      <c r="F111" s="29"/>
      <c r="G111" s="123">
        <f>+'KGPCo WS A  - RB Support '!E78</f>
        <v>246973.16</v>
      </c>
      <c r="H111" s="102"/>
      <c r="I111" s="49" t="s">
        <v>724</v>
      </c>
      <c r="J111" s="50"/>
      <c r="K111" s="29"/>
      <c r="L111" s="928">
        <f>+'KGPCo WS A  - RB Support '!E80</f>
        <v>0</v>
      </c>
      <c r="M111" s="19"/>
      <c r="N111" s="612"/>
    </row>
    <row r="112" spans="2:14" ht="15">
      <c r="B112" s="93"/>
      <c r="C112" s="20"/>
      <c r="D112" s="42"/>
      <c r="E112" s="29"/>
      <c r="F112" s="29"/>
      <c r="G112" s="123"/>
      <c r="H112" s="102"/>
      <c r="I112" s="49"/>
      <c r="J112" s="50"/>
      <c r="K112" s="29"/>
      <c r="L112" s="123"/>
      <c r="M112" s="19"/>
      <c r="N112" s="612"/>
    </row>
    <row r="113" spans="2:14" ht="15">
      <c r="B113" s="97">
        <f>+B111+1</f>
        <v>66</v>
      </c>
      <c r="C113" s="81"/>
      <c r="D113" s="61" t="s">
        <v>181</v>
      </c>
      <c r="E113" s="29" t="str">
        <f>"(Worksheet A ln "&amp;'KGPCo WS A  - RB Support '!A89&amp;". "&amp;'KGPCo WS A  - RB Support '!E6&amp;")"</f>
        <v>(Worksheet A ln 36. (C))</v>
      </c>
      <c r="F113" s="29"/>
      <c r="G113" s="928">
        <f>+'KGPCo WS A  - RB Support '!E89</f>
        <v>0</v>
      </c>
      <c r="H113" s="102"/>
      <c r="I113" s="49" t="s">
        <v>724</v>
      </c>
      <c r="J113" s="29"/>
      <c r="K113" s="29"/>
      <c r="L113" s="928">
        <f>+G113</f>
        <v>0</v>
      </c>
      <c r="M113" s="29"/>
      <c r="N113" s="612"/>
    </row>
    <row r="114" spans="2:14" ht="15">
      <c r="B114" s="93"/>
      <c r="C114" s="20"/>
      <c r="D114" s="42"/>
      <c r="E114" s="29"/>
      <c r="F114" s="29"/>
      <c r="G114" s="123"/>
      <c r="H114" s="102"/>
      <c r="I114" s="49"/>
      <c r="J114" s="29"/>
      <c r="K114" s="29"/>
      <c r="L114" s="928"/>
      <c r="M114" s="19"/>
      <c r="N114" s="612"/>
    </row>
    <row r="115" spans="2:14" ht="15">
      <c r="B115" s="93">
        <f>+B113+1</f>
        <v>67</v>
      </c>
      <c r="C115" s="20"/>
      <c r="D115" s="42" t="s">
        <v>685</v>
      </c>
      <c r="E115" s="29" t="s">
        <v>446</v>
      </c>
      <c r="F115" s="29"/>
      <c r="G115" s="123"/>
      <c r="H115" s="102"/>
      <c r="I115" s="49"/>
      <c r="J115" s="29"/>
      <c r="K115" s="29"/>
      <c r="L115" s="123"/>
      <c r="M115" s="19"/>
      <c r="N115" s="612"/>
    </row>
    <row r="116" spans="2:14" ht="15">
      <c r="B116" s="95">
        <f aca="true" t="shared" si="7" ref="B116:B124">+B115+1</f>
        <v>68</v>
      </c>
      <c r="C116" s="44"/>
      <c r="D116" s="42" t="s">
        <v>886</v>
      </c>
      <c r="E116" s="15" t="str">
        <f>"(1/8 * ln "&amp;B152&amp;")"</f>
        <v>(1/8 * ln 88)</v>
      </c>
      <c r="F116" s="15"/>
      <c r="G116" s="928">
        <f>+G152/8</f>
        <v>53459.14125</v>
      </c>
      <c r="H116" s="29"/>
      <c r="I116" s="49"/>
      <c r="J116" s="315"/>
      <c r="K116" s="29"/>
      <c r="L116" s="928">
        <f>+L152/8</f>
        <v>53459.14125</v>
      </c>
      <c r="M116" s="18"/>
      <c r="N116" s="612"/>
    </row>
    <row r="117" spans="2:14" ht="15">
      <c r="B117" s="211">
        <f t="shared" si="7"/>
        <v>69</v>
      </c>
      <c r="C117" s="212"/>
      <c r="D117" s="42" t="s">
        <v>189</v>
      </c>
      <c r="E117" s="29" t="s">
        <v>371</v>
      </c>
      <c r="F117" s="29"/>
      <c r="G117" s="928">
        <f>+'KGPCo WS C  - Working Capital'!E15</f>
        <v>1059</v>
      </c>
      <c r="H117" s="103"/>
      <c r="I117" s="32" t="s">
        <v>715</v>
      </c>
      <c r="J117" s="50">
        <f aca="true" t="shared" si="8" ref="J117:J123">VLOOKUP(I117,APCo_Proj_Allocators,2,FALSE)</f>
        <v>1</v>
      </c>
      <c r="K117" s="19"/>
      <c r="L117" s="928">
        <f>+J117*G117</f>
        <v>1059</v>
      </c>
      <c r="M117" s="29"/>
      <c r="N117" s="612"/>
    </row>
    <row r="118" spans="2:14" ht="15">
      <c r="B118" s="211">
        <f t="shared" si="7"/>
        <v>70</v>
      </c>
      <c r="C118" s="212"/>
      <c r="D118" s="42" t="s">
        <v>190</v>
      </c>
      <c r="E118" s="29" t="s">
        <v>372</v>
      </c>
      <c r="F118" s="29"/>
      <c r="G118" s="928">
        <f>+'KGPCo WS C  - Working Capital'!E17</f>
        <v>110</v>
      </c>
      <c r="H118" s="103"/>
      <c r="I118" s="32" t="s">
        <v>727</v>
      </c>
      <c r="J118" s="50">
        <f t="shared" si="8"/>
        <v>0.1151916355991698</v>
      </c>
      <c r="K118" s="19"/>
      <c r="L118" s="928">
        <f>+J118*G118</f>
        <v>12.671079915908678</v>
      </c>
      <c r="M118" s="29"/>
      <c r="N118" s="612"/>
    </row>
    <row r="119" spans="2:14" ht="15">
      <c r="B119" s="211">
        <f t="shared" si="7"/>
        <v>71</v>
      </c>
      <c r="C119" s="212"/>
      <c r="D119" s="42" t="s">
        <v>504</v>
      </c>
      <c r="E119" s="29" t="s">
        <v>594</v>
      </c>
      <c r="F119" s="29"/>
      <c r="G119" s="928">
        <f>+'KGPCo WS C  - Working Capital'!E19</f>
        <v>0</v>
      </c>
      <c r="H119" s="103"/>
      <c r="I119" s="32" t="s">
        <v>191</v>
      </c>
      <c r="J119" s="50">
        <f t="shared" si="8"/>
        <v>0.15453628874070158</v>
      </c>
      <c r="K119" s="19"/>
      <c r="L119" s="928">
        <f>+J119*G119</f>
        <v>0</v>
      </c>
      <c r="M119" s="29"/>
      <c r="N119" s="612"/>
    </row>
    <row r="120" spans="2:14" ht="15">
      <c r="B120" s="211">
        <f t="shared" si="7"/>
        <v>72</v>
      </c>
      <c r="C120" s="212"/>
      <c r="D120" s="61" t="s">
        <v>16</v>
      </c>
      <c r="E120" s="29" t="s">
        <v>595</v>
      </c>
      <c r="F120" s="29"/>
      <c r="G120" s="928">
        <f>+'KGPCo WS C  - Working Capital'!J27</f>
        <v>5420740</v>
      </c>
      <c r="H120" s="102"/>
      <c r="I120" s="49" t="s">
        <v>727</v>
      </c>
      <c r="J120" s="50">
        <f t="shared" si="8"/>
        <v>0.1151916355991698</v>
      </c>
      <c r="K120" s="29"/>
      <c r="L120" s="928">
        <f>+J120*G120</f>
        <v>624423.9067578437</v>
      </c>
      <c r="M120" s="29"/>
      <c r="N120" s="612"/>
    </row>
    <row r="121" spans="2:14" ht="15">
      <c r="B121" s="95">
        <f t="shared" si="7"/>
        <v>73</v>
      </c>
      <c r="C121" s="44"/>
      <c r="D121" s="42" t="s">
        <v>17</v>
      </c>
      <c r="E121" s="29" t="s">
        <v>596</v>
      </c>
      <c r="F121" s="29"/>
      <c r="G121" s="928">
        <f>+'KGPCo WS C  - Working Capital'!I27</f>
        <v>132556</v>
      </c>
      <c r="H121" s="102"/>
      <c r="I121" s="49" t="s">
        <v>191</v>
      </c>
      <c r="J121" s="50">
        <f t="shared" si="8"/>
        <v>0.15453628874070158</v>
      </c>
      <c r="K121" s="29"/>
      <c r="L121" s="928">
        <f>+G121*J121</f>
        <v>20484.71229031244</v>
      </c>
      <c r="M121" s="29"/>
      <c r="N121" s="612"/>
    </row>
    <row r="122" spans="2:14" ht="15">
      <c r="B122" s="95">
        <f t="shared" si="7"/>
        <v>74</v>
      </c>
      <c r="C122" s="44"/>
      <c r="D122" s="42" t="s">
        <v>160</v>
      </c>
      <c r="E122" s="29" t="s">
        <v>597</v>
      </c>
      <c r="F122" s="29"/>
      <c r="G122" s="928">
        <f>+'KGPCo WS C  - Working Capital'!G27</f>
        <v>0</v>
      </c>
      <c r="H122" s="102"/>
      <c r="I122" s="49" t="s">
        <v>724</v>
      </c>
      <c r="J122" s="50">
        <f t="shared" si="8"/>
        <v>1</v>
      </c>
      <c r="K122" s="29"/>
      <c r="L122" s="928">
        <f>+G122</f>
        <v>0</v>
      </c>
      <c r="M122" s="29"/>
      <c r="N122" s="612"/>
    </row>
    <row r="123" spans="2:14" ht="15.75" thickBot="1">
      <c r="B123" s="95">
        <f t="shared" si="7"/>
        <v>75</v>
      </c>
      <c r="C123" s="44"/>
      <c r="D123" s="42" t="s">
        <v>699</v>
      </c>
      <c r="E123" s="29" t="s">
        <v>598</v>
      </c>
      <c r="F123" s="29"/>
      <c r="G123" s="124">
        <f>+'KGPCo WS C  - Working Capital'!E27</f>
        <v>-3449377</v>
      </c>
      <c r="H123" s="123"/>
      <c r="I123" s="49" t="s">
        <v>722</v>
      </c>
      <c r="J123" s="50">
        <f t="shared" si="8"/>
        <v>0</v>
      </c>
      <c r="K123" s="29"/>
      <c r="L123" s="929">
        <f>+G123*J123</f>
        <v>0</v>
      </c>
      <c r="M123" s="29"/>
      <c r="N123" s="612"/>
    </row>
    <row r="124" spans="2:14" ht="15">
      <c r="B124" s="95">
        <f t="shared" si="7"/>
        <v>76</v>
      </c>
      <c r="C124" s="44"/>
      <c r="D124" s="42" t="s">
        <v>669</v>
      </c>
      <c r="E124" s="42" t="str">
        <f>"(sum lns "&amp;B116&amp;" to "&amp;B123&amp;")"</f>
        <v>(sum lns 68 to 75)</v>
      </c>
      <c r="F124" s="26"/>
      <c r="G124" s="123">
        <f>SUM(G116:G123)</f>
        <v>2158547.1412500003</v>
      </c>
      <c r="H124" s="26"/>
      <c r="I124" s="81"/>
      <c r="J124" s="26"/>
      <c r="K124" s="26"/>
      <c r="L124" s="123">
        <f>SUM(L116:L123)</f>
        <v>699439.431378072</v>
      </c>
      <c r="M124" s="18"/>
      <c r="N124" s="612"/>
    </row>
    <row r="125" spans="2:14" ht="15">
      <c r="B125" s="93"/>
      <c r="C125" s="20"/>
      <c r="D125" s="42"/>
      <c r="E125" s="18"/>
      <c r="F125" s="18"/>
      <c r="G125" s="108"/>
      <c r="H125" s="18"/>
      <c r="I125" s="20"/>
      <c r="J125" s="18"/>
      <c r="K125" s="18"/>
      <c r="L125" s="108"/>
      <c r="M125" s="18"/>
      <c r="N125" s="612"/>
    </row>
    <row r="126" spans="2:14" ht="15">
      <c r="B126" s="93">
        <f>+B124+1</f>
        <v>77</v>
      </c>
      <c r="C126" s="20"/>
      <c r="D126" s="61" t="s">
        <v>654</v>
      </c>
      <c r="E126" s="17" t="s">
        <v>599</v>
      </c>
      <c r="F126" s="18"/>
      <c r="G126" s="108">
        <f>-'KGPCo WS D IPP Credits'!C19</f>
        <v>0</v>
      </c>
      <c r="H126" s="18"/>
      <c r="I126" s="133" t="s">
        <v>724</v>
      </c>
      <c r="J126" s="50">
        <f>VLOOKUP(I126,APCo_Proj_Allocators,2,FALSE)</f>
        <v>1</v>
      </c>
      <c r="K126" s="19"/>
      <c r="L126" s="108">
        <f>+J126*G126</f>
        <v>0</v>
      </c>
      <c r="M126" s="18"/>
      <c r="N126" s="612"/>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67831771.26274244</v>
      </c>
      <c r="H128" s="19"/>
      <c r="I128" s="19"/>
      <c r="J128" s="48"/>
      <c r="K128" s="19"/>
      <c r="L128" s="120">
        <f>+L124+L111+L109+L100+L126+L113</f>
        <v>10863630.961477641</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2011 and Projected Net Plant at Year-End 2012</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KINGSPORT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716</v>
      </c>
      <c r="E137" s="20" t="s">
        <v>717</v>
      </c>
      <c r="F137" s="20"/>
      <c r="G137" s="20" t="s">
        <v>718</v>
      </c>
      <c r="H137" s="29"/>
      <c r="I137" s="1148" t="s">
        <v>719</v>
      </c>
      <c r="J137" s="1149"/>
      <c r="K137" s="19"/>
      <c r="L137" s="21" t="s">
        <v>720</v>
      </c>
      <c r="M137" s="19"/>
    </row>
    <row r="138" spans="2:13" ht="15">
      <c r="B138" s="16"/>
      <c r="C138" s="13"/>
      <c r="D138" s="20"/>
      <c r="E138" s="20"/>
      <c r="F138" s="20"/>
      <c r="G138" s="20"/>
      <c r="H138" s="29"/>
      <c r="I138" s="19"/>
      <c r="J138" s="34"/>
      <c r="K138" s="19"/>
      <c r="L138" s="13"/>
      <c r="M138" s="19"/>
    </row>
    <row r="139" spans="2:13" ht="15.75">
      <c r="B139" s="95"/>
      <c r="C139" s="20"/>
      <c r="D139" s="38" t="s">
        <v>695</v>
      </c>
      <c r="E139" s="35" t="str">
        <f>E55</f>
        <v>Data Sources</v>
      </c>
      <c r="F139" s="37"/>
      <c r="G139" s="19"/>
      <c r="H139" s="29"/>
      <c r="I139" s="19"/>
      <c r="J139" s="20"/>
      <c r="K139" s="19"/>
      <c r="L139" s="35" t="str">
        <f>L55</f>
        <v>Total</v>
      </c>
      <c r="M139" s="13"/>
    </row>
    <row r="140" spans="2:13" ht="15.75">
      <c r="B140" s="16"/>
      <c r="C140" s="25"/>
      <c r="D140" s="55" t="s">
        <v>696</v>
      </c>
      <c r="E140" s="122" t="str">
        <f>E56</f>
        <v>(See "General Notes")</v>
      </c>
      <c r="F140" s="19"/>
      <c r="G140" s="122" t="str">
        <f>G56</f>
        <v>TO Total</v>
      </c>
      <c r="H140" s="308"/>
      <c r="I140" s="1146" t="str">
        <f>I56</f>
        <v>Allocator</v>
      </c>
      <c r="J140" s="1147"/>
      <c r="K140" s="39"/>
      <c r="L140" s="122" t="str">
        <f>L56</f>
        <v>Transmission</v>
      </c>
      <c r="M140" s="19"/>
    </row>
    <row r="141" spans="2:13" ht="15.75">
      <c r="B141" s="119" t="str">
        <f>B57</f>
        <v>Line</v>
      </c>
      <c r="C141" s="13"/>
      <c r="D141" s="17"/>
      <c r="E141" s="19"/>
      <c r="F141" s="19"/>
      <c r="G141" s="55"/>
      <c r="H141" s="299"/>
      <c r="I141" s="38"/>
      <c r="J141" s="13"/>
      <c r="K141" s="56"/>
      <c r="L141" s="55"/>
      <c r="M141" s="19"/>
    </row>
    <row r="142" spans="2:13" ht="15.75" thickBot="1">
      <c r="B142" s="94" t="str">
        <f>B58</f>
        <v>No.</v>
      </c>
      <c r="C142" s="20"/>
      <c r="D142" s="17" t="s">
        <v>697</v>
      </c>
      <c r="E142" s="19"/>
      <c r="F142" s="19"/>
      <c r="G142" s="19"/>
      <c r="H142" s="29"/>
      <c r="I142" s="32"/>
      <c r="J142" s="19"/>
      <c r="K142" s="19"/>
      <c r="L142" s="19"/>
      <c r="M142" s="19"/>
    </row>
    <row r="143" spans="2:13" ht="15">
      <c r="B143" s="98">
        <f>+B128+1</f>
        <v>79</v>
      </c>
      <c r="C143" s="20"/>
      <c r="D143" s="17" t="s">
        <v>721</v>
      </c>
      <c r="E143" s="19" t="s">
        <v>600</v>
      </c>
      <c r="F143" s="19"/>
      <c r="G143" s="123">
        <f>'KGPCo Historic TCOS'!G143</f>
        <v>126737709</v>
      </c>
      <c r="H143" s="29"/>
      <c r="I143" s="32"/>
      <c r="J143" s="50"/>
      <c r="K143" s="19"/>
      <c r="L143" s="123"/>
      <c r="M143" s="19"/>
    </row>
    <row r="144" spans="2:13" ht="15">
      <c r="B144" s="98">
        <f aca="true" t="shared" si="9" ref="B144:B150">+B143+1</f>
        <v>80</v>
      </c>
      <c r="C144" s="20"/>
      <c r="D144" s="57" t="s">
        <v>725</v>
      </c>
      <c r="E144" s="19" t="s">
        <v>601</v>
      </c>
      <c r="F144" s="29"/>
      <c r="G144" s="123">
        <f>'KGPCo Historic TCOS'!G144</f>
        <v>5057866</v>
      </c>
      <c r="H144" s="29"/>
      <c r="I144" s="32"/>
      <c r="J144" s="50"/>
      <c r="K144" s="19"/>
      <c r="L144" s="123"/>
      <c r="M144" s="19"/>
    </row>
    <row r="145" spans="2:13" ht="15">
      <c r="B145" s="98">
        <f t="shared" si="9"/>
        <v>81</v>
      </c>
      <c r="C145" s="20"/>
      <c r="D145" s="57" t="s">
        <v>94</v>
      </c>
      <c r="E145" s="19" t="s">
        <v>290</v>
      </c>
      <c r="F145" s="29"/>
      <c r="G145" s="123">
        <f>'KGPCo Historic TCOS'!G145</f>
        <v>1694216</v>
      </c>
      <c r="H145" s="29"/>
      <c r="I145" s="49"/>
      <c r="J145" s="50"/>
      <c r="K145" s="29"/>
      <c r="L145" s="123"/>
      <c r="M145" s="19"/>
    </row>
    <row r="146" spans="2:13" ht="15">
      <c r="B146" s="98">
        <f t="shared" si="9"/>
        <v>82</v>
      </c>
      <c r="C146" s="20"/>
      <c r="D146" s="57" t="s">
        <v>95</v>
      </c>
      <c r="E146" s="19" t="s">
        <v>291</v>
      </c>
      <c r="F146" s="29"/>
      <c r="G146" s="123">
        <f>'KGPCo Historic TCOS'!G146</f>
        <v>0</v>
      </c>
      <c r="H146" s="29"/>
      <c r="I146" s="49"/>
      <c r="J146" s="50"/>
      <c r="K146" s="29"/>
      <c r="L146" s="123"/>
      <c r="M146" s="19"/>
    </row>
    <row r="147" spans="2:13" ht="15.75" thickBot="1">
      <c r="B147" s="98">
        <f t="shared" si="9"/>
        <v>83</v>
      </c>
      <c r="C147" s="20"/>
      <c r="D147" s="57" t="s">
        <v>730</v>
      </c>
      <c r="E147" s="19" t="s">
        <v>289</v>
      </c>
      <c r="F147" s="29"/>
      <c r="G147" s="124">
        <f>'KGPCo Historic TCOS'!G147</f>
        <v>478091</v>
      </c>
      <c r="H147" s="123"/>
      <c r="I147" s="103"/>
      <c r="J147" s="103"/>
      <c r="K147" s="103"/>
      <c r="L147" s="103"/>
      <c r="M147" s="18"/>
    </row>
    <row r="148" spans="2:13" ht="15">
      <c r="B148" s="98">
        <f t="shared" si="9"/>
        <v>84</v>
      </c>
      <c r="C148" s="20"/>
      <c r="D148" s="57" t="s">
        <v>96</v>
      </c>
      <c r="E148" s="29" t="str">
        <f>"(sum lns "&amp;B143&amp;"  to "&amp;B147&amp;")"</f>
        <v>(sum lns 79  to 83)</v>
      </c>
      <c r="F148" s="29"/>
      <c r="G148" s="123">
        <f>SUM(G143:G147)</f>
        <v>133967882</v>
      </c>
      <c r="H148" s="123"/>
      <c r="I148" s="103"/>
      <c r="J148" s="103"/>
      <c r="K148" s="103"/>
      <c r="L148" s="103"/>
      <c r="M148" s="18"/>
    </row>
    <row r="149" spans="2:13" ht="15">
      <c r="B149" s="98">
        <f t="shared" si="9"/>
        <v>85</v>
      </c>
      <c r="C149" s="20"/>
      <c r="D149" s="57" t="s">
        <v>182</v>
      </c>
      <c r="E149" s="29" t="str">
        <f>"(Note G) (Worksheet F, ln "&amp;'KGPCo WS F Misc Exp'!A31&amp;".C)"</f>
        <v>(Note G) (Worksheet F, ln 14.C)</v>
      </c>
      <c r="F149" s="29"/>
      <c r="G149" s="123">
        <f>'KGPCo Historic TCOS'!G149</f>
        <v>50417.87</v>
      </c>
      <c r="H149" s="123"/>
      <c r="I149" s="103"/>
      <c r="J149" s="103"/>
      <c r="K149" s="103"/>
      <c r="L149" s="103"/>
      <c r="M149" s="18"/>
    </row>
    <row r="150" spans="2:13" ht="15">
      <c r="B150" s="98">
        <f t="shared" si="9"/>
        <v>86</v>
      </c>
      <c r="C150" s="20"/>
      <c r="D150" s="57" t="s">
        <v>642</v>
      </c>
      <c r="E150" s="29" t="s">
        <v>694</v>
      </c>
      <c r="F150" s="29"/>
      <c r="G150" s="123">
        <f>'KGPCo Historic TCOS'!G150</f>
        <v>0</v>
      </c>
      <c r="H150" s="123"/>
      <c r="I150" s="103"/>
      <c r="J150" s="103"/>
      <c r="K150" s="103"/>
      <c r="L150" s="103"/>
      <c r="M150" s="18"/>
    </row>
    <row r="151" spans="2:13" ht="15.75" thickBot="1">
      <c r="B151" s="532">
        <f>+B150+1</f>
        <v>87</v>
      </c>
      <c r="C151" s="81"/>
      <c r="D151" s="57" t="s">
        <v>327</v>
      </c>
      <c r="E151" s="29" t="s">
        <v>412</v>
      </c>
      <c r="F151" s="29"/>
      <c r="G151" s="124">
        <f>+'KGPCo WS F Misc Exp'!D19</f>
        <v>0</v>
      </c>
      <c r="H151" s="123"/>
      <c r="I151" s="102"/>
      <c r="J151" s="102"/>
      <c r="K151" s="103"/>
      <c r="L151" s="103"/>
      <c r="M151" s="18"/>
    </row>
    <row r="152" spans="2:13" ht="15">
      <c r="B152" s="93">
        <f>+B151+1</f>
        <v>88</v>
      </c>
      <c r="C152" s="20"/>
      <c r="D152" s="57" t="s">
        <v>279</v>
      </c>
      <c r="E152" s="19" t="str">
        <f>"(lns "&amp;B147&amp;" - "&amp;B149&amp;" - "&amp;B150&amp;" - "&amp;B151&amp;")"</f>
        <v>(lns 83 - 85 - 86 - 87)</v>
      </c>
      <c r="F152" s="57"/>
      <c r="G152" s="123">
        <f>G147-G149-G150-G151</f>
        <v>427673.13</v>
      </c>
      <c r="H152" s="29"/>
      <c r="I152" s="32" t="s">
        <v>715</v>
      </c>
      <c r="J152" s="50">
        <f>VLOOKUP(I152,APCo_Proj_Allocators,2,FALSE)</f>
        <v>1</v>
      </c>
      <c r="K152" s="29"/>
      <c r="L152" s="123">
        <f>+G152*J152</f>
        <v>427673.13</v>
      </c>
      <c r="M152" s="26"/>
    </row>
    <row r="153" spans="2:13" ht="15">
      <c r="B153" s="93"/>
      <c r="C153" s="20"/>
      <c r="D153" s="57"/>
      <c r="E153" s="29"/>
      <c r="F153" s="29"/>
      <c r="G153" s="368"/>
      <c r="H153" s="123"/>
      <c r="I153" s="103"/>
      <c r="J153" s="103"/>
      <c r="K153" s="103"/>
      <c r="L153" s="103"/>
      <c r="M153" s="18"/>
    </row>
    <row r="154" spans="2:13" ht="15">
      <c r="B154" s="93">
        <f>+B152+1</f>
        <v>89</v>
      </c>
      <c r="C154" s="20"/>
      <c r="D154" s="17" t="s">
        <v>698</v>
      </c>
      <c r="E154" s="19" t="s">
        <v>413</v>
      </c>
      <c r="F154" s="19"/>
      <c r="G154" s="123">
        <f>'KGPCo Historic TCOS'!G154</f>
        <v>1928311</v>
      </c>
      <c r="H154" s="123"/>
      <c r="I154" s="43"/>
      <c r="J154" s="43"/>
      <c r="K154" s="19"/>
      <c r="L154" s="108"/>
      <c r="M154" s="19"/>
    </row>
    <row r="155" spans="2:13" ht="15">
      <c r="B155" s="93">
        <f aca="true" t="shared" si="10" ref="B155:B164">+B154+1</f>
        <v>90</v>
      </c>
      <c r="C155" s="20"/>
      <c r="D155" s="57" t="s">
        <v>184</v>
      </c>
      <c r="E155" s="19" t="s">
        <v>292</v>
      </c>
      <c r="F155" s="19"/>
      <c r="G155" s="123">
        <f>'KGPCo Historic TCOS'!G155</f>
        <v>208315</v>
      </c>
      <c r="H155" s="123"/>
      <c r="I155" s="43"/>
      <c r="J155" s="17"/>
      <c r="K155" s="19"/>
      <c r="L155" s="108"/>
      <c r="M155"/>
    </row>
    <row r="156" spans="2:13" ht="15">
      <c r="B156" s="93">
        <f t="shared" si="10"/>
        <v>91</v>
      </c>
      <c r="C156" s="20"/>
      <c r="D156" s="57" t="s">
        <v>442</v>
      </c>
      <c r="E156" s="29" t="str">
        <f>'KGPCo Historic TCOS'!E156</f>
        <v>PBOP Worksheet O Line 9 &amp; 10, (Note K)</v>
      </c>
      <c r="F156" s="19"/>
      <c r="G156" s="123">
        <f>'KGPCo Historic TCOS'!G156</f>
        <v>298666</v>
      </c>
      <c r="H156" s="123"/>
      <c r="I156" s="43"/>
      <c r="J156" s="17"/>
      <c r="K156" s="19"/>
      <c r="L156" s="108"/>
      <c r="M156"/>
    </row>
    <row r="157" spans="2:13" ht="15">
      <c r="B157" s="93">
        <f t="shared" si="10"/>
        <v>92</v>
      </c>
      <c r="C157" s="20"/>
      <c r="D157" s="17" t="s">
        <v>67</v>
      </c>
      <c r="E157" s="29" t="str">
        <f>'KGPCo Historic TCOS'!E157</f>
        <v>PBOP Worksheet O  Line 11, (Note K)</v>
      </c>
      <c r="F157" s="19"/>
      <c r="G157" s="123">
        <f>'KGPCo Historic TCOS'!G157</f>
        <v>-110630</v>
      </c>
      <c r="H157" s="123"/>
      <c r="I157" s="43"/>
      <c r="J157" s="17"/>
      <c r="K157" s="19"/>
      <c r="L157" s="108"/>
      <c r="M157"/>
    </row>
    <row r="158" spans="2:13" ht="15">
      <c r="B158" s="93">
        <f t="shared" si="10"/>
        <v>93</v>
      </c>
      <c r="C158" s="20"/>
      <c r="D158" s="17" t="s">
        <v>428</v>
      </c>
      <c r="E158" s="29" t="str">
        <f>'KGPCo Historic TCOS'!E158</f>
        <v>PBOP Worksheet O Line 13, (Note K)</v>
      </c>
      <c r="F158" s="19"/>
      <c r="G158" s="123">
        <f>'KGPCo Historic TCOS'!G158</f>
        <v>25094</v>
      </c>
      <c r="H158" s="123"/>
      <c r="I158" s="43"/>
      <c r="J158" s="17"/>
      <c r="K158" s="19"/>
      <c r="L158" s="108"/>
      <c r="M158"/>
    </row>
    <row r="159" spans="2:13" ht="15">
      <c r="B159" s="93">
        <f t="shared" si="10"/>
        <v>94</v>
      </c>
      <c r="C159" s="20"/>
      <c r="D159" s="17" t="s">
        <v>183</v>
      </c>
      <c r="E159" s="19" t="s">
        <v>688</v>
      </c>
      <c r="F159" s="29"/>
      <c r="G159" s="123">
        <f>'KGPCo Historic TCOS'!G159</f>
        <v>420</v>
      </c>
      <c r="H159" s="123"/>
      <c r="I159" s="43"/>
      <c r="J159" s="260"/>
      <c r="K159" s="19"/>
      <c r="L159" s="108"/>
      <c r="M159" s="19"/>
    </row>
    <row r="160" spans="2:13" ht="15">
      <c r="B160" s="93">
        <f t="shared" si="10"/>
        <v>95</v>
      </c>
      <c r="C160" s="20"/>
      <c r="D160" s="57" t="s">
        <v>702</v>
      </c>
      <c r="E160" s="19" t="s">
        <v>689</v>
      </c>
      <c r="F160" s="29"/>
      <c r="G160" s="123">
        <f>'KGPCo Historic TCOS'!G160</f>
        <v>7240</v>
      </c>
      <c r="H160" s="123"/>
      <c r="I160" s="43"/>
      <c r="J160" s="43"/>
      <c r="K160" s="19"/>
      <c r="L160" s="108"/>
      <c r="M160" s="19"/>
    </row>
    <row r="161" spans="2:13" ht="15.75" thickBot="1">
      <c r="B161" s="93">
        <f t="shared" si="10"/>
        <v>96</v>
      </c>
      <c r="C161" s="20"/>
      <c r="D161" s="57" t="s">
        <v>185</v>
      </c>
      <c r="E161" s="19" t="s">
        <v>690</v>
      </c>
      <c r="F161" s="29"/>
      <c r="G161" s="124">
        <f>'KGPCo Historic TCOS'!G161</f>
        <v>48182</v>
      </c>
      <c r="H161" s="123"/>
      <c r="I161" s="43"/>
      <c r="J161" s="43"/>
      <c r="K161" s="19"/>
      <c r="L161" s="108"/>
      <c r="M161" s="19"/>
    </row>
    <row r="162" spans="2:13" ht="15">
      <c r="B162" s="93">
        <f t="shared" si="10"/>
        <v>97</v>
      </c>
      <c r="C162" s="20"/>
      <c r="D162" s="17" t="s">
        <v>703</v>
      </c>
      <c r="E162" s="29" t="str">
        <f>"(ln "&amp;B154&amp;" - sum ln "&amp;B155&amp;"  to ln "&amp;B161&amp;")"</f>
        <v>(ln 89 - sum ln 90  to ln 96)</v>
      </c>
      <c r="F162" s="29"/>
      <c r="G162" s="123">
        <f>G154-SUM(G155:G161)</f>
        <v>1451024</v>
      </c>
      <c r="H162" s="123"/>
      <c r="I162" s="32" t="s">
        <v>727</v>
      </c>
      <c r="J162" s="50">
        <f aca="true" t="shared" si="11" ref="J162:J167">VLOOKUP(I162,APCo_Proj_Allocators,2,FALSE)</f>
        <v>0.1151916355991698</v>
      </c>
      <c r="K162" s="19"/>
      <c r="L162" s="108">
        <f>+J162*G162</f>
        <v>167145.82785364977</v>
      </c>
      <c r="M162" s="19"/>
    </row>
    <row r="163" spans="2:13" ht="15">
      <c r="B163" s="97">
        <f t="shared" si="10"/>
        <v>98</v>
      </c>
      <c r="C163" s="81"/>
      <c r="D163" s="57" t="s">
        <v>874</v>
      </c>
      <c r="E163" s="29" t="str">
        <f>"(ln "&amp;B155&amp;")"</f>
        <v>(ln 90)</v>
      </c>
      <c r="F163" s="29"/>
      <c r="G163" s="123">
        <f>+G155</f>
        <v>208315</v>
      </c>
      <c r="H163" s="123"/>
      <c r="I163" s="214" t="s">
        <v>191</v>
      </c>
      <c r="J163" s="50">
        <f t="shared" si="11"/>
        <v>0.15453628874070158</v>
      </c>
      <c r="K163" s="29"/>
      <c r="L163" s="123">
        <f>+J163*G163</f>
        <v>32192.226989019247</v>
      </c>
      <c r="M163" s="19"/>
    </row>
    <row r="164" spans="2:13" ht="15">
      <c r="B164" s="93">
        <f t="shared" si="10"/>
        <v>99</v>
      </c>
      <c r="C164" s="20"/>
      <c r="D164" s="57" t="s">
        <v>57</v>
      </c>
      <c r="E164" s="29" t="str">
        <f>"Worksheet F ln "&amp;'KGPCo WS F Misc Exp'!A41&amp;".(E) (Note L)"</f>
        <v>Worksheet F ln 20.(E) (Note L)</v>
      </c>
      <c r="F164" s="29"/>
      <c r="G164" s="123">
        <f>+'KGPCo WS F Misc Exp'!F41</f>
        <v>0</v>
      </c>
      <c r="H164" s="123"/>
      <c r="I164" s="32" t="s">
        <v>715</v>
      </c>
      <c r="J164" s="50">
        <f t="shared" si="11"/>
        <v>1</v>
      </c>
      <c r="K164" s="19"/>
      <c r="L164" s="108">
        <f>J164*G164</f>
        <v>0</v>
      </c>
      <c r="M164" s="19"/>
    </row>
    <row r="165" spans="2:13" ht="15">
      <c r="B165" s="93">
        <f>B164+1</f>
        <v>100</v>
      </c>
      <c r="C165" s="20"/>
      <c r="D165" s="57" t="s">
        <v>87</v>
      </c>
      <c r="E165" s="29" t="str">
        <f>"Worksheet F ln "&amp;'KGPCo WS F Misc Exp'!A61&amp;".(E) (Note L)"</f>
        <v>Worksheet F ln 37.(E) (Note L)</v>
      </c>
      <c r="F165" s="29"/>
      <c r="G165" s="130">
        <f>+'KGPCo WS F Misc Exp'!F61</f>
        <v>0</v>
      </c>
      <c r="H165" s="29"/>
      <c r="I165" s="49" t="s">
        <v>715</v>
      </c>
      <c r="J165" s="50">
        <f t="shared" si="11"/>
        <v>1</v>
      </c>
      <c r="K165" s="19"/>
      <c r="L165" s="147">
        <f>+J165*G165</f>
        <v>0</v>
      </c>
      <c r="M165" s="19"/>
    </row>
    <row r="166" spans="2:13" ht="15">
      <c r="B166" s="93">
        <f>+B165+1</f>
        <v>101</v>
      </c>
      <c r="C166" s="20"/>
      <c r="D166" s="57" t="s">
        <v>88</v>
      </c>
      <c r="E166" s="29" t="str">
        <f>"Worksheet F ln "&amp;'KGPCo WS F Misc Exp'!A71&amp;".(E) (Note L)"</f>
        <v>Worksheet F ln 44.(E) (Note L)</v>
      </c>
      <c r="F166" s="29"/>
      <c r="G166" s="130">
        <f>+'KGPCo WS F Misc Exp'!F71</f>
        <v>31695</v>
      </c>
      <c r="H166" s="29"/>
      <c r="I166" s="49" t="s">
        <v>724</v>
      </c>
      <c r="J166" s="50">
        <f t="shared" si="11"/>
        <v>1</v>
      </c>
      <c r="K166" s="19"/>
      <c r="L166" s="108">
        <f>J166*G166</f>
        <v>31695</v>
      </c>
      <c r="M166" s="19"/>
    </row>
    <row r="167" spans="2:13" ht="15.75" thickBot="1">
      <c r="B167" s="93">
        <f>+B166+1</f>
        <v>102</v>
      </c>
      <c r="C167" s="20"/>
      <c r="D167" s="57" t="s">
        <v>326</v>
      </c>
      <c r="E167" s="29" t="str">
        <f>'KGPCo Historic TCOS'!E167</f>
        <v>PBOP Worksheet O, Col. C, Line 5, (Note M)</v>
      </c>
      <c r="F167" s="29"/>
      <c r="G167" s="124">
        <f>'KGPCo Historic TCOS'!G167</f>
        <v>363495</v>
      </c>
      <c r="H167" s="29"/>
      <c r="I167" s="49" t="s">
        <v>727</v>
      </c>
      <c r="J167" s="50">
        <f t="shared" si="11"/>
        <v>0.1151916355991698</v>
      </c>
      <c r="K167" s="29"/>
      <c r="L167" s="124">
        <f>+G167*J167</f>
        <v>41871.58358212023</v>
      </c>
      <c r="M167" s="507"/>
    </row>
    <row r="168" spans="2:13" ht="15">
      <c r="B168" s="93">
        <f>+B167+1</f>
        <v>103</v>
      </c>
      <c r="C168" s="20"/>
      <c r="D168" s="17" t="s">
        <v>704</v>
      </c>
      <c r="E168" s="29" t="str">
        <f>"(sum lns "&amp;B162&amp;"  to "&amp;B167&amp;")"</f>
        <v>(sum lns 97  to 102)</v>
      </c>
      <c r="F168" s="29"/>
      <c r="G168" s="108">
        <f>SUM(G162:G167)</f>
        <v>2054529</v>
      </c>
      <c r="H168" s="123"/>
      <c r="I168" s="32"/>
      <c r="J168" s="43"/>
      <c r="K168" s="19"/>
      <c r="L168" s="108">
        <f>SUM(L162:L167)</f>
        <v>272904.63842478924</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286</v>
      </c>
      <c r="E170" s="29" t="str">
        <f>"(ln "&amp;B152&amp;" + ln "&amp;B168&amp;")"</f>
        <v>(ln 88 + ln 103)</v>
      </c>
      <c r="F170" s="29"/>
      <c r="G170" s="123">
        <f>+G152+G168</f>
        <v>2482202.13</v>
      </c>
      <c r="H170" s="123"/>
      <c r="I170" s="49"/>
      <c r="J170" s="29"/>
      <c r="K170" s="29"/>
      <c r="L170" s="123">
        <f>L152+L168</f>
        <v>700577.7684247892</v>
      </c>
      <c r="M170" s="19"/>
    </row>
    <row r="171" spans="2:13" ht="15">
      <c r="B171" s="93">
        <f>+B170+1</f>
        <v>105</v>
      </c>
      <c r="C171" s="81"/>
      <c r="D171" s="57" t="s">
        <v>408</v>
      </c>
      <c r="E171" s="29" t="s">
        <v>421</v>
      </c>
      <c r="F171" s="29"/>
      <c r="G171" s="123">
        <f>'KGPCo Historic TCOS'!G171</f>
        <v>0</v>
      </c>
      <c r="H171" s="123"/>
      <c r="I171" s="32" t="s">
        <v>724</v>
      </c>
      <c r="J171" s="50">
        <f>VLOOKUP(I171,APCo_Proj_Allocators,2,FALSE)</f>
        <v>1</v>
      </c>
      <c r="K171" s="29"/>
      <c r="L171" s="108">
        <f>J171*G171</f>
        <v>0</v>
      </c>
      <c r="M171" s="19"/>
    </row>
    <row r="172" spans="2:13" ht="15.75" thickBot="1">
      <c r="B172" s="93">
        <f>+B171+1</f>
        <v>106</v>
      </c>
      <c r="C172" s="81"/>
      <c r="D172" s="57" t="s">
        <v>422</v>
      </c>
      <c r="E172" s="57"/>
      <c r="F172" s="29"/>
      <c r="G172" s="124">
        <f>+'KGPCo Historic TCOS'!G172</f>
        <v>0</v>
      </c>
      <c r="H172" s="123"/>
      <c r="I172" s="32" t="s">
        <v>724</v>
      </c>
      <c r="J172" s="50">
        <f>VLOOKUP(I172,APCo_Proj_Allocators,2,FALSE)</f>
        <v>1</v>
      </c>
      <c r="K172" s="29"/>
      <c r="L172" s="109">
        <f>J172*G172</f>
        <v>0</v>
      </c>
      <c r="M172" s="19"/>
    </row>
    <row r="173" spans="2:13" ht="15">
      <c r="B173" s="93">
        <f>+B172+1</f>
        <v>107</v>
      </c>
      <c r="C173" s="20"/>
      <c r="D173" s="57" t="s">
        <v>705</v>
      </c>
      <c r="E173" s="29" t="str">
        <f>"(ln "&amp;B170&amp;" + ln "&amp;B171&amp;" + ln "&amp;B172&amp;")"</f>
        <v>(ln 104 + ln 105 + ln 106)</v>
      </c>
      <c r="F173" s="29"/>
      <c r="G173" s="123">
        <f>+G170+G171+G172</f>
        <v>2482202.13</v>
      </c>
      <c r="H173" s="123"/>
      <c r="I173" s="49"/>
      <c r="J173" s="29"/>
      <c r="K173" s="29"/>
      <c r="L173" s="123">
        <f>+L170+L171+L172</f>
        <v>700577.7684247892</v>
      </c>
      <c r="M173" s="19"/>
    </row>
    <row r="174" spans="2:13" ht="15">
      <c r="B174" s="93"/>
      <c r="C174" s="20"/>
      <c r="D174" s="57"/>
      <c r="E174" s="19"/>
      <c r="F174" s="19"/>
      <c r="G174" s="108"/>
      <c r="H174" s="29"/>
      <c r="I174" s="19"/>
      <c r="J174" s="19"/>
      <c r="K174" s="19"/>
      <c r="L174" s="108"/>
      <c r="M174" s="19"/>
    </row>
    <row r="175" spans="2:13" ht="15">
      <c r="B175" s="93">
        <f>+B173+1</f>
        <v>108</v>
      </c>
      <c r="C175" s="20"/>
      <c r="D175" s="42" t="s">
        <v>708</v>
      </c>
      <c r="E175" s="49"/>
      <c r="F175" s="49"/>
      <c r="G175" s="108"/>
      <c r="H175" s="29"/>
      <c r="I175" s="32"/>
      <c r="J175" s="19"/>
      <c r="K175" s="19"/>
      <c r="L175" s="108"/>
      <c r="M175" s="19"/>
    </row>
    <row r="176" spans="2:13" ht="15">
      <c r="B176" s="93">
        <f aca="true" t="shared" si="12" ref="B176:B182">+B175+1</f>
        <v>109</v>
      </c>
      <c r="C176" s="20"/>
      <c r="D176" s="17" t="s">
        <v>721</v>
      </c>
      <c r="E176" s="333" t="s">
        <v>298</v>
      </c>
      <c r="F176" s="49"/>
      <c r="G176" s="302">
        <f>'KGPCo Historic TCOS'!G176</f>
        <v>0</v>
      </c>
      <c r="H176" s="29"/>
      <c r="I176" s="32" t="s">
        <v>722</v>
      </c>
      <c r="J176" s="50">
        <f aca="true" t="shared" si="13" ref="J176:J181">VLOOKUP(I176,APCo_Proj_Allocators,2,FALSE)</f>
        <v>0</v>
      </c>
      <c r="K176" s="19"/>
      <c r="L176" s="123">
        <f>+G176*J176</f>
        <v>0</v>
      </c>
      <c r="M176" s="19"/>
    </row>
    <row r="177" spans="2:13" ht="15">
      <c r="B177" s="93">
        <f t="shared" si="12"/>
        <v>110</v>
      </c>
      <c r="C177" s="20"/>
      <c r="D177" s="57" t="s">
        <v>725</v>
      </c>
      <c r="E177" s="333" t="s">
        <v>297</v>
      </c>
      <c r="F177" s="49"/>
      <c r="G177" s="302">
        <f>'KGPCo Historic TCOS'!G177</f>
        <v>3750616</v>
      </c>
      <c r="H177" s="29"/>
      <c r="I177" s="32" t="s">
        <v>722</v>
      </c>
      <c r="J177" s="50">
        <f t="shared" si="13"/>
        <v>0</v>
      </c>
      <c r="K177" s="19"/>
      <c r="L177" s="123">
        <f>+G177*J177</f>
        <v>0</v>
      </c>
      <c r="M177" s="19"/>
    </row>
    <row r="178" spans="2:13" ht="15">
      <c r="B178" s="93">
        <f t="shared" si="12"/>
        <v>111</v>
      </c>
      <c r="C178" s="20"/>
      <c r="D178" s="45" t="str">
        <f>+D147</f>
        <v>  Transmission </v>
      </c>
      <c r="E178" s="333" t="s">
        <v>293</v>
      </c>
      <c r="F178" s="58"/>
      <c r="G178" s="302">
        <f>'KGPCo Historic TCOS'!G178</f>
        <v>487251</v>
      </c>
      <c r="H178" s="749"/>
      <c r="I178" s="756" t="s">
        <v>646</v>
      </c>
      <c r="J178" s="50">
        <f t="shared" si="13"/>
        <v>1</v>
      </c>
      <c r="K178" s="47"/>
      <c r="L178" s="123">
        <f>+G178*J178</f>
        <v>487251</v>
      </c>
      <c r="M178" s="47"/>
    </row>
    <row r="179" spans="2:13" ht="15">
      <c r="B179" s="93">
        <f t="shared" si="12"/>
        <v>112</v>
      </c>
      <c r="C179" s="20"/>
      <c r="D179" s="494" t="s">
        <v>602</v>
      </c>
      <c r="E179" s="46"/>
      <c r="F179" s="46"/>
      <c r="G179" s="611">
        <f>+'KGPCo WS I Projected Plant'!I34</f>
        <v>40931</v>
      </c>
      <c r="H179" s="749"/>
      <c r="I179" s="756" t="s">
        <v>724</v>
      </c>
      <c r="J179" s="50">
        <f t="shared" si="13"/>
        <v>1</v>
      </c>
      <c r="K179" s="19"/>
      <c r="L179" s="123">
        <f>+G179*J179</f>
        <v>40931</v>
      </c>
      <c r="M179" s="47"/>
    </row>
    <row r="180" spans="2:13" ht="15">
      <c r="B180" s="93">
        <f>+B179+1</f>
        <v>113</v>
      </c>
      <c r="C180" s="20"/>
      <c r="D180" s="42" t="s">
        <v>731</v>
      </c>
      <c r="E180" s="58" t="s">
        <v>294</v>
      </c>
      <c r="F180" s="19"/>
      <c r="G180" s="123">
        <f>'KGPCo Historic TCOS'!G180</f>
        <v>94952</v>
      </c>
      <c r="H180" s="123"/>
      <c r="I180" s="32" t="s">
        <v>727</v>
      </c>
      <c r="J180" s="50">
        <f t="shared" si="13"/>
        <v>0.1151916355991698</v>
      </c>
      <c r="K180" s="19"/>
      <c r="L180" s="108">
        <f>+J180*G180</f>
        <v>10937.67618341237</v>
      </c>
      <c r="M180" s="19"/>
    </row>
    <row r="181" spans="2:13" ht="15.75" thickBot="1">
      <c r="B181" s="93">
        <f t="shared" si="12"/>
        <v>114</v>
      </c>
      <c r="C181" s="20"/>
      <c r="D181" s="42" t="s">
        <v>732</v>
      </c>
      <c r="E181" s="46" t="s">
        <v>295</v>
      </c>
      <c r="F181" s="29"/>
      <c r="G181" s="124">
        <f>'KGPCo Historic TCOS'!G181</f>
        <v>63706</v>
      </c>
      <c r="H181" s="123"/>
      <c r="I181" s="32" t="s">
        <v>727</v>
      </c>
      <c r="J181" s="50">
        <f t="shared" si="13"/>
        <v>0.1151916355991698</v>
      </c>
      <c r="K181" s="19"/>
      <c r="L181" s="109">
        <f>+J181*G181</f>
        <v>7338.398337480711</v>
      </c>
      <c r="M181" s="19"/>
    </row>
    <row r="182" spans="2:13" ht="15">
      <c r="B182" s="93">
        <f t="shared" si="12"/>
        <v>115</v>
      </c>
      <c r="C182" s="20"/>
      <c r="D182" s="42" t="s">
        <v>156</v>
      </c>
      <c r="E182" s="1157" t="str">
        <f>"(Lns "&amp;B176&amp;"+"&amp;B177&amp;"+"&amp;B178&amp;"
+"&amp;B179&amp;"+"&amp;B180&amp;"+"&amp;B181&amp;")"</f>
        <v>(Lns 109+110+111
+112+113+114)</v>
      </c>
      <c r="F182" s="19"/>
      <c r="G182" s="123">
        <f>+G176+G177+G178+G179+G180+G181</f>
        <v>4437456</v>
      </c>
      <c r="H182" s="29"/>
      <c r="I182" s="32"/>
      <c r="J182" s="19"/>
      <c r="K182" s="19"/>
      <c r="L182" s="123">
        <f>+L176+L177+L178+L179+L180+L181</f>
        <v>546458.074520893</v>
      </c>
      <c r="M182" s="19"/>
    </row>
    <row r="183" spans="2:13" ht="15">
      <c r="B183" s="93"/>
      <c r="C183" s="20"/>
      <c r="D183" s="42"/>
      <c r="E183" s="1158"/>
      <c r="F183" s="19"/>
      <c r="G183" s="108"/>
      <c r="H183" s="29"/>
      <c r="I183" s="32"/>
      <c r="J183" s="19"/>
      <c r="K183" s="19"/>
      <c r="L183" s="108"/>
      <c r="M183" s="19"/>
    </row>
    <row r="184" spans="2:13" ht="15">
      <c r="B184" s="93">
        <f>+B182+1</f>
        <v>116</v>
      </c>
      <c r="C184" s="20"/>
      <c r="D184" s="42" t="s">
        <v>656</v>
      </c>
      <c r="E184" s="15" t="s">
        <v>296</v>
      </c>
      <c r="F184" s="13"/>
      <c r="G184" s="108"/>
      <c r="H184" s="29"/>
      <c r="I184" s="32"/>
      <c r="J184" s="19"/>
      <c r="K184" s="19"/>
      <c r="L184" s="108"/>
      <c r="M184" s="19"/>
    </row>
    <row r="185" spans="2:13" ht="15">
      <c r="B185" s="93">
        <f aca="true" t="shared" si="14" ref="B185:B191">+B184+1</f>
        <v>117</v>
      </c>
      <c r="C185" s="20"/>
      <c r="D185" s="42" t="s">
        <v>733</v>
      </c>
      <c r="E185" s="13"/>
      <c r="F185" s="13"/>
      <c r="G185" s="108"/>
      <c r="H185" s="29"/>
      <c r="I185" s="32"/>
      <c r="J185" s="13"/>
      <c r="K185" s="19"/>
      <c r="L185" s="108"/>
      <c r="M185" s="19"/>
    </row>
    <row r="186" spans="2:13" ht="15">
      <c r="B186" s="93">
        <f t="shared" si="14"/>
        <v>118</v>
      </c>
      <c r="C186" s="20"/>
      <c r="D186" s="42" t="s">
        <v>734</v>
      </c>
      <c r="E186" s="29" t="str">
        <f>"Worksheet H ln "&amp;'KGPCo WS H Other Taxes'!A39&amp;"."&amp;'KGPCo WS H Other Taxes'!I8&amp;""</f>
        <v>Worksheet H ln 21.(D)</v>
      </c>
      <c r="F186" s="19"/>
      <c r="G186" s="123">
        <f>+'KGPCo Historic TCOS'!G186</f>
        <v>123874</v>
      </c>
      <c r="H186" s="123"/>
      <c r="I186" s="32" t="s">
        <v>727</v>
      </c>
      <c r="J186" s="50">
        <f>VLOOKUP(I186,APCo_Proj_Allocators,2,FALSE)</f>
        <v>0.1151916355991698</v>
      </c>
      <c r="K186" s="19"/>
      <c r="L186" s="108">
        <f>+J186*G186</f>
        <v>14269.24866821156</v>
      </c>
      <c r="M186" s="52"/>
    </row>
    <row r="187" spans="2:13" ht="15">
      <c r="B187" s="93">
        <f t="shared" si="14"/>
        <v>119</v>
      </c>
      <c r="C187" s="20"/>
      <c r="D187" s="42" t="s">
        <v>735</v>
      </c>
      <c r="E187" s="29" t="s">
        <v>709</v>
      </c>
      <c r="F187" s="19"/>
      <c r="G187" s="123"/>
      <c r="H187" s="123"/>
      <c r="I187" s="32"/>
      <c r="J187" s="13"/>
      <c r="K187" s="19"/>
      <c r="L187" s="108"/>
      <c r="M187" s="29"/>
    </row>
    <row r="188" spans="2:13" ht="15">
      <c r="B188" s="97">
        <f t="shared" si="14"/>
        <v>120</v>
      </c>
      <c r="C188" s="81"/>
      <c r="D188" s="61" t="s">
        <v>736</v>
      </c>
      <c r="E188" s="29" t="str">
        <f>"Worksheet H ln "&amp;'KGPCo WS H Other Taxes'!A39&amp;".(C) &amp; ln "&amp;'KGPCo WS H Other Taxes'!A60&amp;"."&amp;'KGPCo WS H Other Taxes'!G8&amp;""</f>
        <v>Worksheet H ln 21.(C) &amp; ln 35.(C)</v>
      </c>
      <c r="F188" s="29"/>
      <c r="G188" s="123">
        <f>+'KGPCo Historic TCOS'!G188</f>
        <v>848729</v>
      </c>
      <c r="H188" s="123"/>
      <c r="I188" s="49" t="str">
        <f>+'KGPCo Historic TCOS'!I188</f>
        <v>DA</v>
      </c>
      <c r="J188" s="50"/>
      <c r="K188" s="29"/>
      <c r="L188" s="123">
        <f>+'KGPCo WS H Other Taxes'!G60</f>
        <v>110043.04818154006</v>
      </c>
      <c r="M188" s="29"/>
    </row>
    <row r="189" spans="2:13" ht="15">
      <c r="B189" s="93">
        <f t="shared" si="14"/>
        <v>121</v>
      </c>
      <c r="C189" s="20"/>
      <c r="D189" s="42" t="s">
        <v>877</v>
      </c>
      <c r="E189" s="29" t="str">
        <f>"Worksheet H ln "&amp;'KGPCo WS H Other Taxes'!A39&amp;"."&amp;'KGPCo WS H Other Taxes'!M8&amp;""</f>
        <v>Worksheet H ln 21.(F)</v>
      </c>
      <c r="F189" s="19"/>
      <c r="G189" s="123">
        <f>+'KGPCo Historic TCOS'!G189</f>
        <v>3916007</v>
      </c>
      <c r="H189" s="102"/>
      <c r="I189" s="32" t="s">
        <v>722</v>
      </c>
      <c r="J189" s="50">
        <f>VLOOKUP(I189,APCo_Proj_Allocators,2,FALSE)</f>
        <v>0</v>
      </c>
      <c r="K189" s="19"/>
      <c r="L189" s="108">
        <f>+J189*G189</f>
        <v>0</v>
      </c>
      <c r="M189" s="29"/>
    </row>
    <row r="190" spans="2:13" ht="15.75" thickBot="1">
      <c r="B190" s="93">
        <f t="shared" si="14"/>
        <v>122</v>
      </c>
      <c r="C190" s="20"/>
      <c r="D190" s="42" t="s">
        <v>737</v>
      </c>
      <c r="E190" s="29" t="str">
        <f>"Worksheet H ln "&amp;'KGPCo WS H Other Taxes'!A39&amp;"."&amp;'KGPCo WS H Other Taxes'!K8&amp;""</f>
        <v>Worksheet H ln 21.(E)</v>
      </c>
      <c r="F190" s="19"/>
      <c r="G190" s="124">
        <f>+'KGPCo Historic TCOS'!G190</f>
        <v>718147</v>
      </c>
      <c r="H190" s="102"/>
      <c r="I190" s="32" t="s">
        <v>191</v>
      </c>
      <c r="J190" s="50">
        <f>VLOOKUP(I190,APCo_Proj_Allocators,2,FALSE)</f>
        <v>0.15453628874070158</v>
      </c>
      <c r="K190" s="19"/>
      <c r="L190" s="109">
        <f>+J190*G190</f>
        <v>110979.77215026862</v>
      </c>
      <c r="M190" s="29"/>
    </row>
    <row r="191" spans="2:13" ht="15">
      <c r="B191" s="93">
        <f t="shared" si="14"/>
        <v>123</v>
      </c>
      <c r="C191" s="20"/>
      <c r="D191" s="42" t="s">
        <v>657</v>
      </c>
      <c r="E191" s="106" t="str">
        <f>"(sum lns "&amp;B186&amp;" to "&amp;B190&amp;")"</f>
        <v>(sum lns 118 to 122)</v>
      </c>
      <c r="F191" s="19"/>
      <c r="G191" s="123">
        <f>SUM(G186:G190)</f>
        <v>5606757</v>
      </c>
      <c r="H191" s="29"/>
      <c r="I191" s="32"/>
      <c r="J191" s="31"/>
      <c r="K191" s="19"/>
      <c r="L191" s="108">
        <f>SUM(L186:L190)</f>
        <v>235292.06900002022</v>
      </c>
      <c r="M191" s="19"/>
    </row>
    <row r="192" spans="2:13" ht="15">
      <c r="B192" s="93"/>
      <c r="C192" s="20"/>
      <c r="D192" s="42"/>
      <c r="E192" s="19"/>
      <c r="F192" s="19"/>
      <c r="G192" s="19"/>
      <c r="H192" s="29"/>
      <c r="I192" s="32"/>
      <c r="J192" s="31"/>
      <c r="K192" s="19"/>
      <c r="L192" s="19"/>
      <c r="M192" s="496"/>
    </row>
    <row r="193" spans="2:13" ht="15">
      <c r="B193" s="93">
        <f>+B191+1</f>
        <v>124</v>
      </c>
      <c r="C193" s="20"/>
      <c r="D193" s="42" t="s">
        <v>193</v>
      </c>
      <c r="E193" s="29" t="s">
        <v>299</v>
      </c>
      <c r="F193" s="64"/>
      <c r="G193" s="19"/>
      <c r="H193" s="103"/>
      <c r="I193" s="23"/>
      <c r="J193" s="13"/>
      <c r="K193" s="19"/>
      <c r="L193" s="13"/>
      <c r="M193" s="19"/>
    </row>
    <row r="194" spans="2:13" ht="15">
      <c r="B194" s="93">
        <f aca="true" t="shared" si="15" ref="B194:B199">+B193+1</f>
        <v>125</v>
      </c>
      <c r="C194" s="20"/>
      <c r="D194" s="60" t="s">
        <v>194</v>
      </c>
      <c r="E194" s="19"/>
      <c r="F194" s="534"/>
      <c r="G194" s="455">
        <f>IF(F337&gt;0,1-(((1-F338)*(1-F337))/(1-F338*F337*F339)),0)</f>
        <v>0.392185</v>
      </c>
      <c r="H194" s="103"/>
      <c r="I194" s="23"/>
      <c r="J194" s="13"/>
      <c r="K194" s="19"/>
      <c r="L194" s="13"/>
      <c r="M194" s="19"/>
    </row>
    <row r="195" spans="2:14" ht="15">
      <c r="B195" s="93">
        <f t="shared" si="15"/>
        <v>126</v>
      </c>
      <c r="C195" s="20"/>
      <c r="D195" s="51" t="s">
        <v>195</v>
      </c>
      <c r="E195" s="19"/>
      <c r="F195" s="534"/>
      <c r="G195" s="455">
        <f>IF(L255&gt;0,($G194/(1-$G194))*(1-$L255/$L258),0)</f>
        <v>0.5092124349322851</v>
      </c>
      <c r="H195" s="103"/>
      <c r="I195" s="23"/>
      <c r="J195" s="13"/>
      <c r="K195" s="19"/>
      <c r="L195" s="13"/>
      <c r="M195" s="19"/>
      <c r="N195" s="698"/>
    </row>
    <row r="196" spans="2:13" ht="15">
      <c r="B196" s="93">
        <f t="shared" si="15"/>
        <v>127</v>
      </c>
      <c r="C196" s="20"/>
      <c r="D196" s="61" t="str">
        <f>"       where WCLTD=(ln "&amp;B255&amp;") and WACC = (ln "&amp;B258&amp;")"</f>
        <v>       where WCLTD=(ln 162) and WACC = (ln 165)</v>
      </c>
      <c r="E196" s="29"/>
      <c r="F196" s="757"/>
      <c r="G196" s="19"/>
      <c r="H196" s="840"/>
      <c r="I196" s="23"/>
      <c r="J196" s="758"/>
      <c r="K196" s="19"/>
      <c r="L196" s="759"/>
      <c r="M196" s="19"/>
    </row>
    <row r="197" spans="2:13" ht="15">
      <c r="B197" s="93">
        <f t="shared" si="15"/>
        <v>128</v>
      </c>
      <c r="C197" s="20"/>
      <c r="D197" s="42" t="s">
        <v>303</v>
      </c>
      <c r="E197" s="760"/>
      <c r="F197" s="534"/>
      <c r="G197" s="19"/>
      <c r="H197" s="103"/>
      <c r="I197" s="23"/>
      <c r="J197" s="758"/>
      <c r="K197" s="19"/>
      <c r="L197" s="13"/>
      <c r="M197" s="19"/>
    </row>
    <row r="198" spans="2:20" ht="15">
      <c r="B198" s="93">
        <f t="shared" si="15"/>
        <v>129</v>
      </c>
      <c r="C198" s="20"/>
      <c r="D198" s="62" t="str">
        <f>"      GRCF=1 / (1 - T)  = (from ln "&amp;B194&amp;")"</f>
        <v>      GRCF=1 / (1 - T)  = (from ln 125)</v>
      </c>
      <c r="E198" s="64"/>
      <c r="F198" s="64"/>
      <c r="G198" s="456">
        <f>IF(G194&gt;0,1/(1-G194),0)</f>
        <v>1.6452374488948118</v>
      </c>
      <c r="H198" s="103"/>
      <c r="I198" s="129"/>
      <c r="J198" s="761"/>
      <c r="K198" s="108"/>
      <c r="L198" s="580"/>
      <c r="M198" s="19"/>
      <c r="N198"/>
      <c r="O198"/>
      <c r="P198"/>
      <c r="Q198"/>
      <c r="R198"/>
      <c r="S198"/>
      <c r="T198"/>
    </row>
    <row r="199" spans="2:20" ht="15">
      <c r="B199" s="93">
        <f t="shared" si="15"/>
        <v>130</v>
      </c>
      <c r="C199" s="20"/>
      <c r="D199" s="42" t="s">
        <v>196</v>
      </c>
      <c r="E199" s="43" t="s">
        <v>455</v>
      </c>
      <c r="F199" s="64"/>
      <c r="G199" s="123">
        <f>+'KGPCo Historic TCOS'!G199</f>
        <v>0</v>
      </c>
      <c r="H199" s="103"/>
      <c r="I199" s="129"/>
      <c r="J199" s="762"/>
      <c r="K199" s="108"/>
      <c r="M199" s="32"/>
      <c r="N199"/>
      <c r="O199"/>
      <c r="P199"/>
      <c r="Q199"/>
      <c r="R199"/>
      <c r="S199"/>
      <c r="T199"/>
    </row>
    <row r="200" spans="2:20" ht="15">
      <c r="B200" s="93"/>
      <c r="C200" s="20"/>
      <c r="D200" s="42"/>
      <c r="E200" s="19"/>
      <c r="F200" s="534"/>
      <c r="G200" s="108"/>
      <c r="H200" s="103"/>
      <c r="I200" s="129"/>
      <c r="J200" s="759"/>
      <c r="K200" s="108"/>
      <c r="L200" s="13"/>
      <c r="M200" s="19"/>
      <c r="N200"/>
      <c r="O200"/>
      <c r="P200"/>
      <c r="Q200"/>
      <c r="R200"/>
      <c r="S200"/>
      <c r="T200"/>
    </row>
    <row r="201" spans="2:20" ht="15">
      <c r="B201" s="93">
        <f>+B199+1</f>
        <v>131</v>
      </c>
      <c r="C201" s="20"/>
      <c r="D201" s="60" t="s">
        <v>197</v>
      </c>
      <c r="E201" s="63" t="str">
        <f>"(ln "&amp;B195&amp;" * ln "&amp;B205&amp;")"</f>
        <v>(ln 126 * ln 134)</v>
      </c>
      <c r="F201" s="164"/>
      <c r="G201" s="108">
        <f>+G195*G205</f>
        <v>2995085.860853357</v>
      </c>
      <c r="H201" s="103"/>
      <c r="I201" s="129"/>
      <c r="J201" s="759"/>
      <c r="K201" s="108"/>
      <c r="L201" s="108">
        <f>+L205*G195</f>
        <v>479679.46118078334</v>
      </c>
      <c r="M201" s="19"/>
      <c r="N201"/>
      <c r="O201"/>
      <c r="P201"/>
      <c r="Q201"/>
      <c r="R201"/>
      <c r="S201"/>
      <c r="T201"/>
    </row>
    <row r="202" spans="2:20" ht="15.75" thickBot="1">
      <c r="B202" s="93">
        <f>+B201+1</f>
        <v>132</v>
      </c>
      <c r="C202" s="20"/>
      <c r="D202" s="51" t="s">
        <v>198</v>
      </c>
      <c r="E202" s="63" t="str">
        <f>"(ln "&amp;B198&amp;" * ln "&amp;B199&amp;")"</f>
        <v>(ln 129 * ln 130)</v>
      </c>
      <c r="F202" s="63"/>
      <c r="G202" s="109">
        <f>G198*G199</f>
        <v>0</v>
      </c>
      <c r="H202" s="103"/>
      <c r="I202" s="204" t="s">
        <v>192</v>
      </c>
      <c r="J202" s="50">
        <f>VLOOKUP(I202,APCo_Proj_Allocators,2,FALSE)</f>
        <v>0.12939189520750893</v>
      </c>
      <c r="K202" s="108"/>
      <c r="L202" s="109">
        <f>+G202*J202</f>
        <v>0</v>
      </c>
      <c r="M202" s="19"/>
      <c r="N202"/>
      <c r="O202"/>
      <c r="P202"/>
      <c r="Q202"/>
      <c r="R202"/>
      <c r="S202"/>
      <c r="T202"/>
    </row>
    <row r="203" spans="2:20" ht="15">
      <c r="B203" s="93">
        <f>+B202+1</f>
        <v>133</v>
      </c>
      <c r="C203" s="20"/>
      <c r="D203" s="60" t="s">
        <v>658</v>
      </c>
      <c r="E203" s="19" t="str">
        <f>"(sum lns "&amp;B201&amp;" to "&amp;B202&amp;")"</f>
        <v>(sum lns 131 to 132)</v>
      </c>
      <c r="F203" s="63"/>
      <c r="G203" s="132">
        <f>SUM(G201:G202)</f>
        <v>2995085.860853357</v>
      </c>
      <c r="H203" s="103"/>
      <c r="I203" s="129" t="s">
        <v>709</v>
      </c>
      <c r="J203" s="763"/>
      <c r="K203" s="108"/>
      <c r="L203" s="132">
        <f>SUM(L201:L202)</f>
        <v>479679.46118078334</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227</v>
      </c>
      <c r="E205" s="62" t="str">
        <f>"(ln "&amp;B128&amp;" * ln "&amp;B258&amp;")"</f>
        <v>(ln 78 * ln 165)</v>
      </c>
      <c r="F205" s="48"/>
      <c r="G205" s="108">
        <f>+$L258*G128</f>
        <v>5881800.316309326</v>
      </c>
      <c r="H205" s="29"/>
      <c r="I205" s="129"/>
      <c r="J205" s="108"/>
      <c r="K205" s="108"/>
      <c r="L205" s="108">
        <f>+L258*L128</f>
        <v>942002.646193373</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8" t="s">
        <v>693</v>
      </c>
      <c r="E207" s="13"/>
      <c r="F207" s="58"/>
      <c r="G207" s="123">
        <f>+'KGPCo WS D IPP Credits'!C11</f>
        <v>0</v>
      </c>
      <c r="H207" s="123"/>
      <c r="I207" s="133" t="s">
        <v>724</v>
      </c>
      <c r="J207" s="50">
        <f>VLOOKUP(I207,APCo_Proj_Allocators,2,FALSE)</f>
        <v>1</v>
      </c>
      <c r="K207" s="121"/>
      <c r="L207" s="108">
        <f>+J207*G207</f>
        <v>0</v>
      </c>
      <c r="M207" s="47"/>
      <c r="N207"/>
      <c r="O207"/>
      <c r="P207"/>
      <c r="Q207"/>
      <c r="R207"/>
      <c r="S207"/>
      <c r="T207"/>
    </row>
    <row r="208" spans="2:20" ht="15">
      <c r="B208" s="93"/>
      <c r="C208" s="20"/>
      <c r="D208" s="748"/>
      <c r="E208" s="13"/>
      <c r="F208" s="58"/>
      <c r="G208" s="123"/>
      <c r="H208" s="123"/>
      <c r="I208" s="133"/>
      <c r="J208" s="50"/>
      <c r="K208" s="121"/>
      <c r="L208" s="108"/>
      <c r="M208" s="47"/>
      <c r="N208"/>
      <c r="O208"/>
      <c r="P208"/>
      <c r="Q208"/>
      <c r="R208"/>
      <c r="S208"/>
      <c r="T208"/>
    </row>
    <row r="209" spans="2:20" ht="15">
      <c r="B209" s="93">
        <f>+B207+1</f>
        <v>136</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95"/>
      <c r="N209" s="764"/>
      <c r="O209"/>
      <c r="P209"/>
      <c r="Q209"/>
      <c r="R209"/>
      <c r="S209"/>
      <c r="T209"/>
    </row>
    <row r="210" spans="2:20" ht="15">
      <c r="B210" s="93"/>
      <c r="C210" s="20"/>
      <c r="D210" s="748"/>
      <c r="E210" s="15"/>
      <c r="F210" s="46"/>
      <c r="G210" s="123"/>
      <c r="H210" s="123"/>
      <c r="I210" s="611"/>
      <c r="J210" s="50"/>
      <c r="K210" s="302"/>
      <c r="L210" s="123"/>
      <c r="M210" s="295"/>
      <c r="N210" s="764"/>
      <c r="O210"/>
      <c r="P210"/>
      <c r="Q210"/>
      <c r="R210"/>
      <c r="S210"/>
      <c r="T210"/>
    </row>
    <row r="211" spans="2:20" ht="15">
      <c r="B211" s="93">
        <f>+B209+1</f>
        <v>137</v>
      </c>
      <c r="C211" s="20"/>
      <c r="D211" s="748" t="str">
        <f>" Tax Impact on (Gains) / Losses on Sales of Plant Held for Future Use (ln "&amp;B209&amp;" * ln"&amp;B195&amp;")"</f>
        <v> Tax Impact on (Gains) / Losses on Sales of Plant Held for Future Use (ln 136 * ln126)</v>
      </c>
      <c r="E211" s="15"/>
      <c r="F211" s="46"/>
      <c r="G211" s="123">
        <f>-+G195*G209</f>
        <v>0</v>
      </c>
      <c r="H211" s="123"/>
      <c r="I211" s="611"/>
      <c r="J211" s="50"/>
      <c r="K211" s="302"/>
      <c r="L211" s="123">
        <f>L209*-G195</f>
        <v>0</v>
      </c>
      <c r="M211" s="295"/>
      <c r="N211" s="764"/>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97</v>
      </c>
      <c r="E213" s="13"/>
      <c r="F213" s="13"/>
      <c r="G213" s="161">
        <f>+G207+G205+G203+G191+G182+G173+G209+G211</f>
        <v>21403301.307162683</v>
      </c>
      <c r="H213" s="13"/>
      <c r="I213" s="13"/>
      <c r="J213" s="13"/>
      <c r="K213" s="13"/>
      <c r="L213" s="161">
        <f>+L207+L205+L203+L191+L182+L173+L209+L211</f>
        <v>2904010.0193198584</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7"/>
      <c r="M214" s="19"/>
      <c r="N214"/>
      <c r="O214"/>
      <c r="P214"/>
      <c r="Q214"/>
      <c r="R214"/>
      <c r="S214"/>
      <c r="T214"/>
    </row>
    <row r="215" spans="2:20" ht="15">
      <c r="B215" s="93"/>
      <c r="C215" s="20"/>
      <c r="D215" s="13"/>
      <c r="E215" s="13"/>
      <c r="F215" s="126"/>
      <c r="G215" s="13"/>
      <c r="H215" s="13"/>
      <c r="I215" s="13"/>
      <c r="J215" s="13"/>
      <c r="K215" s="13"/>
      <c r="L215" s="787"/>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5"/>
      <c r="M217" s="65"/>
      <c r="N217"/>
      <c r="O217"/>
      <c r="P217"/>
      <c r="Q217"/>
      <c r="R217"/>
      <c r="S217"/>
      <c r="T217"/>
    </row>
    <row r="218" spans="2:20" ht="15">
      <c r="B218" s="13"/>
      <c r="C218" s="20"/>
      <c r="D218" s="13"/>
      <c r="E218" s="13"/>
      <c r="F218" s="23" t="str">
        <f>F133</f>
        <v>Utilizing  Historic Cost Data for 2011 and Projected Net Plant at Year-End 2012</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KINGSPORT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663</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711</v>
      </c>
      <c r="C224" s="20"/>
      <c r="D224" s="40"/>
      <c r="E224" s="18"/>
      <c r="F224" s="18"/>
      <c r="G224" s="18"/>
      <c r="H224" s="18"/>
      <c r="I224" s="18"/>
      <c r="J224" s="18"/>
      <c r="K224" s="18"/>
      <c r="L224" s="18"/>
      <c r="M224" s="19"/>
      <c r="N224"/>
      <c r="O224"/>
      <c r="P224"/>
      <c r="Q224"/>
      <c r="R224"/>
      <c r="S224"/>
      <c r="T224"/>
    </row>
    <row r="225" spans="2:20" ht="15.75" thickBot="1">
      <c r="B225" s="94" t="s">
        <v>712</v>
      </c>
      <c r="C225" s="25"/>
      <c r="D225" s="57" t="s">
        <v>29</v>
      </c>
      <c r="E225" s="26"/>
      <c r="F225" s="26"/>
      <c r="G225" s="26"/>
      <c r="H225" s="26"/>
      <c r="I225" s="26"/>
      <c r="J225" s="26"/>
      <c r="K225" s="15"/>
      <c r="L225" s="13"/>
      <c r="M225" s="19"/>
      <c r="N225"/>
      <c r="O225"/>
      <c r="P225"/>
      <c r="Q225"/>
      <c r="R225"/>
      <c r="S225"/>
      <c r="T225"/>
    </row>
    <row r="226" spans="2:20" ht="15">
      <c r="B226" s="93">
        <f>+B213+1</f>
        <v>139</v>
      </c>
      <c r="C226" s="20"/>
      <c r="D226" s="26" t="s">
        <v>761</v>
      </c>
      <c r="E226" s="146" t="str">
        <f>"(ln "&amp;B61&amp;")"</f>
        <v>(ln 20)</v>
      </c>
      <c r="F226" s="71"/>
      <c r="H226" s="72"/>
      <c r="I226" s="72"/>
      <c r="J226" s="72"/>
      <c r="K226" s="72"/>
      <c r="L226" s="130">
        <f>+G61</f>
        <v>20264445</v>
      </c>
      <c r="M226" s="19"/>
      <c r="N226"/>
      <c r="O226"/>
      <c r="P226"/>
      <c r="Q226"/>
      <c r="R226"/>
      <c r="S226"/>
      <c r="T226"/>
    </row>
    <row r="227" spans="2:20" ht="15">
      <c r="B227" s="93">
        <f>+B226+1</f>
        <v>140</v>
      </c>
      <c r="C227" s="20"/>
      <c r="D227" s="26" t="s">
        <v>300</v>
      </c>
      <c r="E227" s="73"/>
      <c r="F227" s="73"/>
      <c r="G227" s="74"/>
      <c r="H227" s="73"/>
      <c r="I227" s="73"/>
      <c r="J227" s="73"/>
      <c r="K227" s="73"/>
      <c r="L227" s="209">
        <f>'KGPCo Historic TCOS'!L227</f>
        <v>0</v>
      </c>
      <c r="M227" s="19"/>
      <c r="N227"/>
      <c r="O227"/>
      <c r="P227"/>
      <c r="Q227"/>
      <c r="R227"/>
      <c r="S227"/>
      <c r="T227"/>
    </row>
    <row r="228" spans="2:20"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N228"/>
      <c r="O228"/>
      <c r="P228"/>
      <c r="Q228"/>
      <c r="R228"/>
      <c r="S228"/>
      <c r="T228"/>
    </row>
    <row r="229" spans="2:20" ht="15">
      <c r="B229" s="93">
        <f>+B228+1</f>
        <v>142</v>
      </c>
      <c r="C229" s="20"/>
      <c r="D229" s="26" t="s">
        <v>30</v>
      </c>
      <c r="E229" s="125" t="str">
        <f>"(ln "&amp;B226&amp;" - ln "&amp;B227&amp;" - ln "&amp;B228&amp;")"</f>
        <v>(ln 139 - ln 140 - ln 141)</v>
      </c>
      <c r="F229" s="71"/>
      <c r="H229" s="72"/>
      <c r="I229" s="72"/>
      <c r="J229" s="41"/>
      <c r="K229" s="72"/>
      <c r="L229" s="130">
        <f>L226-L227-L228</f>
        <v>20264445</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31</v>
      </c>
      <c r="E231" s="76" t="str">
        <f>"(ln "&amp;B229&amp;" / ln "&amp;B226&amp;")"</f>
        <v>(ln 142 / ln 139)</v>
      </c>
      <c r="F231" s="75"/>
      <c r="H231" s="77"/>
      <c r="I231" s="78"/>
      <c r="J231" s="78"/>
      <c r="K231" s="79" t="s">
        <v>738</v>
      </c>
      <c r="L231" s="80">
        <f>IF(L226&gt;0,L229/L226,0)</f>
        <v>1</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664</v>
      </c>
      <c r="E233" s="49" t="s">
        <v>199</v>
      </c>
      <c r="F233" s="49" t="s">
        <v>857</v>
      </c>
      <c r="G233" s="213" t="s">
        <v>22</v>
      </c>
      <c r="H233" s="208" t="s">
        <v>713</v>
      </c>
      <c r="I233" s="32"/>
      <c r="J233" s="19"/>
      <c r="K233" s="19"/>
      <c r="L233" s="19"/>
      <c r="M233" s="19"/>
      <c r="N233"/>
      <c r="O233"/>
      <c r="P233"/>
      <c r="Q233"/>
      <c r="R233"/>
      <c r="S233"/>
      <c r="T233"/>
    </row>
    <row r="234" spans="2:20" ht="15">
      <c r="B234" s="97">
        <f aca="true" t="shared" si="16" ref="B234:B239">+B233+1</f>
        <v>145</v>
      </c>
      <c r="C234" s="81"/>
      <c r="D234" s="57" t="s">
        <v>721</v>
      </c>
      <c r="E234" s="19" t="s">
        <v>306</v>
      </c>
      <c r="F234" s="29">
        <f>+'KGPCo Historic TCOS'!F234</f>
        <v>1066</v>
      </c>
      <c r="G234" s="29">
        <f>+'KGPCo Historic TCOS'!G234</f>
        <v>0</v>
      </c>
      <c r="H234" s="209">
        <f>+F234+G234</f>
        <v>1066</v>
      </c>
      <c r="I234" s="32" t="s">
        <v>722</v>
      </c>
      <c r="J234" s="50">
        <f>VLOOKUP(I234,APCo_Proj_Allocators,2,FALSE)</f>
        <v>0</v>
      </c>
      <c r="K234" s="83"/>
      <c r="L234" s="108">
        <f>(F234+G234)*J234</f>
        <v>0</v>
      </c>
      <c r="M234" s="19"/>
      <c r="N234"/>
      <c r="O234"/>
      <c r="P234"/>
      <c r="Q234"/>
      <c r="R234"/>
      <c r="S234"/>
      <c r="T234"/>
    </row>
    <row r="235" spans="2:20" ht="15">
      <c r="B235" s="97">
        <f t="shared" si="16"/>
        <v>146</v>
      </c>
      <c r="C235" s="81"/>
      <c r="D235" s="61" t="s">
        <v>723</v>
      </c>
      <c r="E235" s="29" t="s">
        <v>603</v>
      </c>
      <c r="F235" s="29">
        <f>+'KGPCo Historic TCOS'!F235</f>
        <v>156289</v>
      </c>
      <c r="G235" s="29">
        <f>+'KGPCo Historic TCOS'!G235</f>
        <v>84748</v>
      </c>
      <c r="H235" s="209">
        <f>+F235+G235</f>
        <v>241037</v>
      </c>
      <c r="I235" s="81" t="s">
        <v>715</v>
      </c>
      <c r="J235" s="50">
        <f>VLOOKUP(I235,APCo_Proj_Allocators,2,FALSE)</f>
        <v>1</v>
      </c>
      <c r="K235" s="83"/>
      <c r="L235" s="108">
        <f>(F235+G235)*J235</f>
        <v>241037</v>
      </c>
      <c r="M235" s="19"/>
      <c r="N235"/>
      <c r="O235"/>
      <c r="P235"/>
      <c r="Q235"/>
      <c r="R235"/>
      <c r="S235"/>
      <c r="T235"/>
    </row>
    <row r="236" spans="2:20" ht="15">
      <c r="B236" s="97">
        <f t="shared" si="16"/>
        <v>147</v>
      </c>
      <c r="C236" s="81"/>
      <c r="D236" s="61" t="s">
        <v>40</v>
      </c>
      <c r="E236" s="19" t="s">
        <v>373</v>
      </c>
      <c r="F236" s="29">
        <v>0</v>
      </c>
      <c r="G236" s="29">
        <v>0</v>
      </c>
      <c r="H236" s="209">
        <v>0</v>
      </c>
      <c r="I236" s="32" t="s">
        <v>722</v>
      </c>
      <c r="J236" s="50">
        <f>VLOOKUP(I236,APCo_Proj_Allocators,2,FALSE)</f>
        <v>0</v>
      </c>
      <c r="K236" s="83"/>
      <c r="L236" s="108">
        <f>(F236+G236)*J236</f>
        <v>0</v>
      </c>
      <c r="M236" s="19"/>
      <c r="N236"/>
      <c r="O236"/>
      <c r="P236"/>
      <c r="Q236"/>
      <c r="R236"/>
      <c r="S236"/>
      <c r="T236"/>
    </row>
    <row r="237" spans="2:20" ht="15">
      <c r="B237" s="97">
        <f t="shared" si="16"/>
        <v>148</v>
      </c>
      <c r="C237" s="81"/>
      <c r="D237" s="61" t="s">
        <v>725</v>
      </c>
      <c r="E237" s="19" t="s">
        <v>304</v>
      </c>
      <c r="F237" s="29">
        <f>+'KGPCo Historic TCOS'!F237</f>
        <v>918276</v>
      </c>
      <c r="G237" s="29">
        <f>+'KGPCo Historic TCOS'!G237</f>
        <v>122712</v>
      </c>
      <c r="H237" s="209">
        <f>+F237+G237</f>
        <v>1040988</v>
      </c>
      <c r="I237" s="32" t="s">
        <v>722</v>
      </c>
      <c r="J237" s="50">
        <f>VLOOKUP(I237,APCo_Proj_Allocators,2,FALSE)</f>
        <v>0</v>
      </c>
      <c r="K237" s="83"/>
      <c r="L237" s="108">
        <f>(F237+G237)*J237</f>
        <v>0</v>
      </c>
      <c r="M237" s="19"/>
      <c r="N237"/>
      <c r="O237"/>
      <c r="P237"/>
      <c r="Q237"/>
      <c r="R237"/>
      <c r="S237"/>
      <c r="T237"/>
    </row>
    <row r="238" spans="2:20" ht="15.75" thickBot="1">
      <c r="B238" s="97">
        <f t="shared" si="16"/>
        <v>149</v>
      </c>
      <c r="C238" s="81"/>
      <c r="D238" s="61" t="s">
        <v>878</v>
      </c>
      <c r="E238" s="19" t="s">
        <v>305</v>
      </c>
      <c r="F238" s="319">
        <f>+'KGPCo Historic TCOS'!F238</f>
        <v>283101</v>
      </c>
      <c r="G238" s="319">
        <f>+'KGPCo Historic TCOS'!G238</f>
        <v>526295</v>
      </c>
      <c r="H238" s="210">
        <f>+F238+G238</f>
        <v>809396</v>
      </c>
      <c r="I238" s="32" t="s">
        <v>722</v>
      </c>
      <c r="J238" s="50">
        <f>VLOOKUP(I238,APCo_Proj_Allocators,2,FALSE)</f>
        <v>0</v>
      </c>
      <c r="K238" s="83"/>
      <c r="L238" s="109">
        <f>(F238+G238)*J238</f>
        <v>0</v>
      </c>
      <c r="M238" s="19"/>
      <c r="N238"/>
      <c r="O238"/>
      <c r="P238"/>
      <c r="Q238"/>
      <c r="R238"/>
      <c r="S238"/>
      <c r="T238"/>
    </row>
    <row r="239" spans="2:13" ht="15.75">
      <c r="B239" s="97">
        <f t="shared" si="16"/>
        <v>150</v>
      </c>
      <c r="C239" s="81"/>
      <c r="D239" s="61" t="s">
        <v>713</v>
      </c>
      <c r="E239" s="61" t="str">
        <f>"(sum lns "&amp;B234&amp;" to "&amp;B238&amp;")"</f>
        <v>(sum lns 145 to 149)</v>
      </c>
      <c r="F239" s="29">
        <f>SUM(F234:F238)</f>
        <v>1358732</v>
      </c>
      <c r="G239" s="29">
        <f>SUM(G234:G238)</f>
        <v>733755</v>
      </c>
      <c r="H239" s="29">
        <f>SUM(H234:H238)</f>
        <v>2092487</v>
      </c>
      <c r="I239" s="32"/>
      <c r="J239" s="19"/>
      <c r="K239" s="19"/>
      <c r="L239" s="108">
        <f>SUM(L234:L238)</f>
        <v>241037</v>
      </c>
      <c r="M239" s="35"/>
    </row>
    <row r="240" spans="2:13" ht="15">
      <c r="B240" s="97"/>
      <c r="C240" s="81"/>
      <c r="D240" s="61" t="s">
        <v>709</v>
      </c>
      <c r="E240" s="29" t="s">
        <v>709</v>
      </c>
      <c r="F240" s="29"/>
      <c r="G240" s="15"/>
      <c r="H240" s="29"/>
      <c r="I240" s="144"/>
      <c r="M240" s="13"/>
    </row>
    <row r="241" spans="2:13" ht="15.75">
      <c r="B241" s="93">
        <f>+B239+1</f>
        <v>151</v>
      </c>
      <c r="C241" s="20"/>
      <c r="D241" s="42" t="s">
        <v>667</v>
      </c>
      <c r="E241" s="29"/>
      <c r="F241" s="29"/>
      <c r="G241" s="29"/>
      <c r="H241" s="29"/>
      <c r="I241" s="144"/>
      <c r="K241" s="127" t="s">
        <v>668</v>
      </c>
      <c r="L241" s="128">
        <f>L239/(F239+G239)</f>
        <v>0.1151916355991698</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875</v>
      </c>
      <c r="E244" s="29"/>
      <c r="F244" s="29"/>
      <c r="G244" s="29"/>
      <c r="H244" s="29"/>
      <c r="I244" s="29"/>
      <c r="J244" s="29"/>
      <c r="K244" s="29"/>
      <c r="L244" s="215" t="s">
        <v>739</v>
      </c>
      <c r="M244" s="19"/>
    </row>
    <row r="245" spans="2:13" ht="15">
      <c r="B245" s="97">
        <f aca="true" t="shared" si="17" ref="B245:B258">+B244+1</f>
        <v>153</v>
      </c>
      <c r="C245" s="81"/>
      <c r="D245" s="29" t="s">
        <v>27</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7">
        <f>+B245+1</f>
        <v>154</v>
      </c>
      <c r="C246" s="81"/>
      <c r="D246" s="29" t="s">
        <v>28</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7">
        <f t="shared" si="17"/>
        <v>155</v>
      </c>
      <c r="C247" s="81"/>
      <c r="D247" s="307" t="s">
        <v>89</v>
      </c>
      <c r="E247" s="29"/>
      <c r="F247" s="29"/>
      <c r="G247" s="29"/>
      <c r="H247" s="102"/>
      <c r="I247" s="29"/>
      <c r="J247" s="29"/>
      <c r="K247" s="29"/>
      <c r="L247" s="123"/>
      <c r="M247" s="19"/>
    </row>
    <row r="248" spans="2:13" ht="15">
      <c r="B248" s="97">
        <f t="shared" si="17"/>
        <v>156</v>
      </c>
      <c r="C248" s="81"/>
      <c r="D248" s="29" t="s">
        <v>90</v>
      </c>
      <c r="E248" s="16" t="s">
        <v>448</v>
      </c>
      <c r="F248" s="29"/>
      <c r="G248" s="26"/>
      <c r="H248" s="102"/>
      <c r="I248" s="29"/>
      <c r="J248" s="29"/>
      <c r="K248" s="29"/>
      <c r="L248" s="123">
        <f>+'KGPCo Historic TCOS'!L248</f>
        <v>29450188</v>
      </c>
      <c r="M248" s="19"/>
    </row>
    <row r="249" spans="2:13" ht="15">
      <c r="B249" s="97">
        <f t="shared" si="17"/>
        <v>157</v>
      </c>
      <c r="C249" s="81"/>
      <c r="D249" s="29" t="s">
        <v>244</v>
      </c>
      <c r="E249" s="16" t="s">
        <v>449</v>
      </c>
      <c r="F249" s="29"/>
      <c r="G249" s="29"/>
      <c r="H249" s="102"/>
      <c r="I249" s="29"/>
      <c r="J249" s="29"/>
      <c r="K249" s="29"/>
      <c r="L249" s="123">
        <f>+'KGPCo Historic TCOS'!L249</f>
        <v>0</v>
      </c>
      <c r="M249" s="19"/>
    </row>
    <row r="250" spans="2:13" ht="15">
      <c r="B250" s="97">
        <f t="shared" si="17"/>
        <v>158</v>
      </c>
      <c r="C250" s="81"/>
      <c r="D250" s="29" t="s">
        <v>236</v>
      </c>
      <c r="E250" s="16" t="s">
        <v>604</v>
      </c>
      <c r="F250" s="29"/>
      <c r="G250" s="29"/>
      <c r="H250" s="102"/>
      <c r="I250" s="29"/>
      <c r="J250" s="29"/>
      <c r="K250" s="29"/>
      <c r="L250" s="123">
        <f>+'KGPCo Historic TCOS'!L250</f>
        <v>0</v>
      </c>
      <c r="M250" s="19"/>
    </row>
    <row r="251" spans="2:13" ht="15.75" thickBot="1">
      <c r="B251" s="97">
        <f t="shared" si="17"/>
        <v>159</v>
      </c>
      <c r="C251" s="81"/>
      <c r="D251" s="29" t="s">
        <v>242</v>
      </c>
      <c r="E251" s="16" t="s">
        <v>450</v>
      </c>
      <c r="F251" s="29"/>
      <c r="G251" s="29"/>
      <c r="H251" s="102"/>
      <c r="I251" s="29"/>
      <c r="J251" s="29"/>
      <c r="K251" s="29"/>
      <c r="L251" s="124">
        <f>+'KGPCo Historic TCOS'!L251</f>
        <v>-2750</v>
      </c>
      <c r="M251" s="19"/>
    </row>
    <row r="252" spans="2:13" ht="15">
      <c r="B252" s="97">
        <f t="shared" si="17"/>
        <v>160</v>
      </c>
      <c r="C252" s="81"/>
      <c r="D252" s="16" t="s">
        <v>91</v>
      </c>
      <c r="E252" s="29" t="str">
        <f>"(ln "&amp;B248&amp;" - ln "&amp;B249&amp;" - ln "&amp;B250&amp;" - ln "&amp;B251&amp;")"</f>
        <v>(ln 156 - ln 157 - ln 158 - ln 159)</v>
      </c>
      <c r="F252" s="263"/>
      <c r="G252" s="59"/>
      <c r="H252" s="26"/>
      <c r="I252" s="26"/>
      <c r="J252" s="26"/>
      <c r="K252" s="26"/>
      <c r="L252" s="123">
        <f>+L248-L249-L250-L251</f>
        <v>29452938</v>
      </c>
      <c r="M252" s="19"/>
    </row>
    <row r="253" spans="2:13" ht="15.75">
      <c r="B253" s="97"/>
      <c r="C253" s="81"/>
      <c r="D253" s="61"/>
      <c r="E253" s="29"/>
      <c r="F253" s="29"/>
      <c r="G253" s="1156"/>
      <c r="H253" s="1156"/>
      <c r="I253" s="29"/>
      <c r="J253" s="879" t="s">
        <v>740</v>
      </c>
      <c r="K253" s="29"/>
      <c r="L253" s="29"/>
      <c r="M253" s="19"/>
    </row>
    <row r="254" spans="2:18" ht="15.75" thickBot="1">
      <c r="B254" s="97">
        <f>+B252+1</f>
        <v>161</v>
      </c>
      <c r="C254" s="81"/>
      <c r="D254" s="61"/>
      <c r="F254" s="29"/>
      <c r="G254" s="264" t="s">
        <v>739</v>
      </c>
      <c r="H254" s="264" t="s">
        <v>741</v>
      </c>
      <c r="I254" s="29"/>
      <c r="J254" s="881" t="s">
        <v>302</v>
      </c>
      <c r="K254" s="29"/>
      <c r="L254" s="264" t="s">
        <v>742</v>
      </c>
      <c r="M254" s="19"/>
      <c r="N254" s="33"/>
      <c r="O254" s="33"/>
      <c r="P254" s="33"/>
      <c r="Q254" s="33"/>
      <c r="R254" s="33"/>
    </row>
    <row r="255" spans="2:18" ht="15">
      <c r="B255" s="97">
        <f t="shared" si="17"/>
        <v>162</v>
      </c>
      <c r="C255" s="81"/>
      <c r="D255" s="61" t="str">
        <f>"  Long Term Debt  (Note T) Worksheet L, ln "&amp;'KGPCo WS L Cost of Debt'!A52&amp;", col. "&amp;'KGPCo WS L Cost of Debt'!C8&amp;")"</f>
        <v>  Long Term Debt  (Note T) Worksheet L, ln 35, col. (B))</v>
      </c>
      <c r="F255" s="29"/>
      <c r="G255" s="123">
        <f>+'KGPCo WS L Cost of Debt'!C52</f>
        <v>20000000</v>
      </c>
      <c r="H255" s="882">
        <f>IF($G$258&gt;0,G255/$G$258,0)</f>
        <v>0.40442491000231373</v>
      </c>
      <c r="I255" s="884"/>
      <c r="J255" s="885">
        <f>IF(G255&gt;0,L245/G255,0)</f>
        <v>0.0452</v>
      </c>
      <c r="K255" s="15"/>
      <c r="L255" s="886">
        <f>H255*J255</f>
        <v>0.01828000593210458</v>
      </c>
      <c r="M255" s="84"/>
      <c r="N255" s="33"/>
      <c r="O255" s="33"/>
      <c r="P255" s="33"/>
      <c r="Q255" s="33"/>
      <c r="R255" s="33"/>
    </row>
    <row r="256" spans="2:13" ht="15">
      <c r="B256" s="97">
        <f t="shared" si="17"/>
        <v>163</v>
      </c>
      <c r="C256" s="81"/>
      <c r="D256" s="61" t="str">
        <f>"  Preferred Stock (ln "&amp;B249&amp;")"</f>
        <v>  Preferred Stock (ln 157)</v>
      </c>
      <c r="F256" s="15"/>
      <c r="G256" s="123">
        <f>+L249</f>
        <v>0</v>
      </c>
      <c r="H256" s="882">
        <f>IF($G$258&gt;0,G256/$G$258,0)</f>
        <v>0</v>
      </c>
      <c r="I256" s="884"/>
      <c r="J256" s="885">
        <f>IF(G256&gt;0,L246/G256,0)</f>
        <v>0</v>
      </c>
      <c r="K256" s="15"/>
      <c r="L256" s="887">
        <f>H256*J256</f>
        <v>0</v>
      </c>
      <c r="M256" s="19"/>
    </row>
    <row r="257" spans="2:13" ht="15.75" thickBot="1">
      <c r="B257" s="97">
        <f t="shared" si="17"/>
        <v>164</v>
      </c>
      <c r="C257" s="81"/>
      <c r="D257" s="61" t="str">
        <f>"  Common Stock (ln "&amp;B252&amp;")"</f>
        <v>  Common Stock (ln 160)</v>
      </c>
      <c r="F257" s="15"/>
      <c r="G257" s="124">
        <f>+L252</f>
        <v>29452938</v>
      </c>
      <c r="H257" s="882">
        <f>IF($G$258&gt;0,G257/$G$258,0)</f>
        <v>0.5955750899976863</v>
      </c>
      <c r="I257" s="884"/>
      <c r="J257" s="318">
        <f>+'KGPCo Historic TCOS'!J257</f>
        <v>0.1149</v>
      </c>
      <c r="K257" s="15"/>
      <c r="L257" s="888">
        <f>H257*J257</f>
        <v>0.06843157784073416</v>
      </c>
      <c r="M257" s="19"/>
    </row>
    <row r="258" spans="2:13" ht="15.75">
      <c r="B258" s="97">
        <f t="shared" si="17"/>
        <v>165</v>
      </c>
      <c r="C258" s="81"/>
      <c r="D258" s="61" t="str">
        <f>" Total (Sum lns "&amp;B255&amp;" to "&amp;B257&amp;")"</f>
        <v> Total (Sum lns 162 to 164)</v>
      </c>
      <c r="F258" s="15"/>
      <c r="G258" s="123">
        <f>G257+G256+G255</f>
        <v>49452938</v>
      </c>
      <c r="I258" s="29"/>
      <c r="J258" s="889"/>
      <c r="K258" s="265" t="s">
        <v>645</v>
      </c>
      <c r="L258" s="890">
        <f>SUM(L255:L257)</f>
        <v>0.08671158377283873</v>
      </c>
      <c r="M258" s="85"/>
    </row>
    <row r="259" spans="2:18" ht="15">
      <c r="B259" s="93"/>
      <c r="C259" s="764"/>
      <c r="D259" s="103"/>
      <c r="E259" s="103"/>
      <c r="F259" s="103"/>
      <c r="G259" s="103"/>
      <c r="H259" s="103"/>
      <c r="I259" s="103"/>
      <c r="J259" s="757"/>
      <c r="K259" s="18"/>
      <c r="L259" s="19"/>
      <c r="M259" s="18"/>
      <c r="N259" s="87"/>
      <c r="O259" s="87"/>
      <c r="P259" s="87"/>
      <c r="Q259" s="87"/>
      <c r="R259" s="87"/>
    </row>
    <row r="260" spans="2:18" ht="15.75">
      <c r="B260" s="93"/>
      <c r="C260" s="20"/>
      <c r="D260" s="66"/>
      <c r="E260" s="66"/>
      <c r="F260" s="23" t="str">
        <f>F216</f>
        <v>AEP East Companies</v>
      </c>
      <c r="G260" s="67"/>
      <c r="H260" s="19"/>
      <c r="I260" s="19"/>
      <c r="J260" s="757"/>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39"/>
      <c r="M261" s="131"/>
      <c r="N261" s="87"/>
      <c r="O261" s="87"/>
      <c r="P261" s="87"/>
      <c r="Q261" s="87"/>
      <c r="R261" s="87"/>
    </row>
    <row r="262" spans="2:18" ht="15.75">
      <c r="B262" s="93"/>
      <c r="C262" s="20"/>
      <c r="D262" s="68"/>
      <c r="E262" s="38"/>
      <c r="F262" s="23" t="str">
        <f>F218</f>
        <v>Utilizing  Historic Cost Data for 2011 and Projected Net Plant at Year-End 2012</v>
      </c>
      <c r="G262" s="19"/>
      <c r="H262" s="19"/>
      <c r="I262" s="19"/>
      <c r="J262" s="19"/>
      <c r="K262" s="18"/>
      <c r="L262" s="697"/>
      <c r="M262" s="148"/>
      <c r="N262" s="87"/>
      <c r="O262" s="87"/>
      <c r="P262" s="87"/>
      <c r="Q262" s="87"/>
      <c r="R262" s="87"/>
    </row>
    <row r="263" spans="2:18" ht="15.75">
      <c r="B263" s="93"/>
      <c r="C263" s="20"/>
      <c r="D263" s="68"/>
      <c r="E263" s="38"/>
      <c r="F263" s="23"/>
      <c r="G263" s="19"/>
      <c r="H263" s="19"/>
      <c r="I263" s="19"/>
      <c r="J263" s="19"/>
      <c r="K263" s="18"/>
      <c r="L263" s="891"/>
      <c r="M263" s="15"/>
      <c r="N263" s="87"/>
      <c r="O263" s="87"/>
      <c r="P263" s="87"/>
      <c r="Q263" s="87"/>
      <c r="R263" s="87"/>
    </row>
    <row r="264" spans="2:18" ht="15.75">
      <c r="B264" s="93"/>
      <c r="C264" s="20"/>
      <c r="D264" s="68"/>
      <c r="E264" s="38"/>
      <c r="F264" s="23" t="str">
        <f>F220</f>
        <v>KINGSPORT POWER COMPANY</v>
      </c>
      <c r="G264" s="19"/>
      <c r="H264" s="19"/>
      <c r="I264" s="19"/>
      <c r="J264" s="19"/>
      <c r="K264" s="18"/>
      <c r="L264" s="697"/>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771</v>
      </c>
      <c r="C266" s="25"/>
      <c r="D266" s="57"/>
      <c r="E266" s="26"/>
      <c r="F266" s="203" t="s">
        <v>770</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546</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743</v>
      </c>
      <c r="C271" s="25"/>
      <c r="D271" s="57" t="s">
        <v>409</v>
      </c>
      <c r="E271" s="26"/>
      <c r="F271" s="26"/>
      <c r="G271" s="29"/>
      <c r="H271" s="29"/>
      <c r="I271" s="29"/>
      <c r="J271" s="29"/>
      <c r="K271" s="26"/>
      <c r="L271" s="29"/>
      <c r="M271" s="26"/>
      <c r="N271" s="87"/>
      <c r="O271" s="87"/>
      <c r="P271" s="87"/>
      <c r="Q271" s="87"/>
      <c r="R271" s="87"/>
    </row>
    <row r="272" spans="2:18" ht="15">
      <c r="B272" s="99"/>
      <c r="C272" s="86"/>
      <c r="D272" s="57" t="s">
        <v>245</v>
      </c>
      <c r="E272" s="26"/>
      <c r="F272" s="26"/>
      <c r="G272" s="26"/>
      <c r="H272" s="26"/>
      <c r="I272" s="26"/>
      <c r="J272" s="26"/>
      <c r="K272" s="26"/>
      <c r="L272" s="26"/>
      <c r="M272" s="26"/>
      <c r="N272" s="87"/>
      <c r="O272" s="87"/>
      <c r="P272" s="87"/>
      <c r="Q272" s="87"/>
      <c r="R272" s="87"/>
    </row>
    <row r="273" spans="2:18" ht="15">
      <c r="B273" s="100"/>
      <c r="C273" s="15"/>
      <c r="D273" s="16" t="s">
        <v>246</v>
      </c>
      <c r="E273" s="91"/>
      <c r="F273" s="91"/>
      <c r="G273" s="26"/>
      <c r="H273" s="26"/>
      <c r="I273" s="26"/>
      <c r="J273" s="26"/>
      <c r="K273" s="26"/>
      <c r="L273" s="26"/>
      <c r="M273" s="26"/>
      <c r="N273" s="87"/>
      <c r="O273" s="87"/>
      <c r="P273" s="87"/>
      <c r="Q273" s="87"/>
      <c r="R273" s="87"/>
    </row>
    <row r="274" spans="2:18" ht="15">
      <c r="B274" s="100"/>
      <c r="C274" s="15"/>
      <c r="D274" s="57" t="s">
        <v>410</v>
      </c>
      <c r="E274" s="26"/>
      <c r="F274" s="26"/>
      <c r="G274" s="26"/>
      <c r="H274" s="26"/>
      <c r="I274" s="26"/>
      <c r="J274" s="26"/>
      <c r="K274" s="26"/>
      <c r="L274" s="26"/>
      <c r="M274" s="26"/>
      <c r="N274" s="87"/>
      <c r="O274" s="87"/>
      <c r="P274" s="87"/>
      <c r="Q274" s="87"/>
      <c r="R274" s="87"/>
    </row>
    <row r="275" spans="2:18" ht="15">
      <c r="B275" s="97"/>
      <c r="C275" s="81"/>
      <c r="D275" s="57" t="s">
        <v>411</v>
      </c>
      <c r="E275" s="26"/>
      <c r="F275" s="26"/>
      <c r="G275" s="26"/>
      <c r="H275" s="26"/>
      <c r="I275" s="26"/>
      <c r="J275" s="26"/>
      <c r="K275" s="26"/>
      <c r="L275" s="26"/>
      <c r="M275" s="26"/>
      <c r="N275" s="87"/>
      <c r="O275" s="87"/>
      <c r="P275" s="87"/>
      <c r="Q275" s="87"/>
      <c r="R275" s="87"/>
    </row>
    <row r="276" spans="2:18" ht="15">
      <c r="B276" s="97"/>
      <c r="C276" s="81"/>
      <c r="D276" s="57" t="s">
        <v>247</v>
      </c>
      <c r="E276" s="26"/>
      <c r="F276" s="26"/>
      <c r="G276" s="26"/>
      <c r="H276" s="26"/>
      <c r="I276" s="26"/>
      <c r="J276" s="26"/>
      <c r="K276" s="26"/>
      <c r="L276" s="26"/>
      <c r="M276" s="26"/>
      <c r="N276" s="87"/>
      <c r="O276" s="87"/>
      <c r="P276" s="87"/>
      <c r="Q276" s="87"/>
      <c r="R276" s="87"/>
    </row>
    <row r="277" spans="2:18" ht="15">
      <c r="B277" s="97"/>
      <c r="C277" s="81"/>
      <c r="D277" s="57" t="s">
        <v>248</v>
      </c>
      <c r="E277" s="26"/>
      <c r="F277" s="26"/>
      <c r="G277" s="26"/>
      <c r="H277" s="26"/>
      <c r="I277" s="26"/>
      <c r="J277" s="26"/>
      <c r="K277" s="26"/>
      <c r="L277" s="26"/>
      <c r="M277" s="26"/>
      <c r="N277" s="87"/>
      <c r="O277" s="87"/>
      <c r="P277" s="87"/>
      <c r="Q277" s="87"/>
      <c r="R277" s="87"/>
    </row>
    <row r="278" spans="2:18" ht="15">
      <c r="B278" s="97"/>
      <c r="C278" s="81"/>
      <c r="D278" s="57" t="s">
        <v>423</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744</v>
      </c>
      <c r="C280" s="81"/>
      <c r="D280" s="1144" t="s">
        <v>288</v>
      </c>
      <c r="E280" s="1145"/>
      <c r="F280" s="1145"/>
      <c r="G280" s="1145"/>
      <c r="H280" s="1145"/>
      <c r="I280" s="1145"/>
      <c r="J280" s="1145"/>
      <c r="K280" s="1145"/>
      <c r="L280" s="57"/>
      <c r="M280" s="26"/>
      <c r="N280" s="87"/>
      <c r="O280" s="87"/>
      <c r="P280" s="87"/>
      <c r="Q280" s="87"/>
      <c r="R280" s="87"/>
    </row>
    <row r="281" spans="2:18" ht="15">
      <c r="B281" s="97"/>
      <c r="C281" s="81"/>
      <c r="D281" s="1145"/>
      <c r="E281" s="1145"/>
      <c r="F281" s="1145"/>
      <c r="G281" s="1145"/>
      <c r="H281" s="1145"/>
      <c r="I281" s="1145"/>
      <c r="J281" s="1145"/>
      <c r="K281" s="1145"/>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745</v>
      </c>
      <c r="C283" s="81"/>
      <c r="D283" s="7" t="str">
        <f>"Transmission Plant balances in this study are projected as of December 31, "&amp;'KGPCo Historic TCOS'!O2&amp;". Other ratebase amounts are as of December 31, "&amp;'KGPCo Historic TCOS'!O1&amp;"."</f>
        <v>Transmission Plant balances in this study are projected as of December 31, 2012. Other ratebase amounts are as of December 31, 2011.</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746</v>
      </c>
      <c r="C285" s="81"/>
      <c r="D285" s="57" t="s">
        <v>92</v>
      </c>
      <c r="E285" s="26"/>
      <c r="F285" s="26"/>
      <c r="G285" s="26"/>
      <c r="H285" s="26"/>
      <c r="I285" s="26"/>
      <c r="J285" s="26"/>
      <c r="K285" s="26"/>
      <c r="L285" s="26"/>
      <c r="M285" s="26"/>
      <c r="N285" s="57"/>
      <c r="O285" s="87"/>
      <c r="P285" s="87"/>
      <c r="Q285" s="87"/>
      <c r="R285" s="87"/>
    </row>
    <row r="286" spans="2:18" ht="15">
      <c r="B286" s="97"/>
      <c r="C286" s="81"/>
      <c r="D286" s="57" t="s">
        <v>431</v>
      </c>
      <c r="E286" s="26"/>
      <c r="F286" s="26"/>
      <c r="G286" s="26"/>
      <c r="H286" s="26"/>
      <c r="I286" s="26"/>
      <c r="J286" s="26"/>
      <c r="K286" s="26"/>
      <c r="L286" s="26"/>
      <c r="M286" s="26"/>
      <c r="N286" s="57"/>
      <c r="O286" s="87"/>
      <c r="P286" s="87"/>
      <c r="Q286" s="87"/>
      <c r="R286" s="87"/>
    </row>
    <row r="287" spans="2:18" ht="15">
      <c r="B287" s="97"/>
      <c r="C287" s="81"/>
      <c r="D287" s="57" t="s">
        <v>444</v>
      </c>
      <c r="E287" s="26"/>
      <c r="F287" s="26"/>
      <c r="G287" s="26"/>
      <c r="H287" s="26"/>
      <c r="I287" s="26"/>
      <c r="J287" s="26"/>
      <c r="K287" s="26"/>
      <c r="L287" s="26"/>
      <c r="M287" s="26"/>
      <c r="N287" s="57"/>
      <c r="O287" s="87"/>
      <c r="P287" s="87"/>
      <c r="Q287" s="87"/>
      <c r="R287" s="87"/>
    </row>
    <row r="288" spans="2:18" ht="15">
      <c r="B288" s="97"/>
      <c r="C288" s="81"/>
      <c r="D288" s="57" t="s">
        <v>234</v>
      </c>
      <c r="E288" s="26"/>
      <c r="F288" s="26"/>
      <c r="G288" s="26"/>
      <c r="H288" s="26"/>
      <c r="I288" s="26"/>
      <c r="J288" s="26"/>
      <c r="K288" s="26"/>
      <c r="L288" s="26"/>
      <c r="M288" s="26"/>
      <c r="N288" s="87"/>
      <c r="O288" s="87"/>
      <c r="P288" s="87"/>
      <c r="Q288" s="87"/>
      <c r="R288" s="87"/>
    </row>
    <row r="289" spans="2:18" ht="15">
      <c r="B289" s="97"/>
      <c r="C289" s="81"/>
      <c r="D289" s="57" t="s">
        <v>34</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747</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50"/>
      <c r="F291" s="750"/>
      <c r="G291" s="750"/>
      <c r="H291" s="750"/>
      <c r="I291" s="750"/>
      <c r="J291" s="750"/>
      <c r="K291" s="750"/>
      <c r="L291" s="750"/>
      <c r="M291" s="26"/>
      <c r="N291" s="87"/>
      <c r="O291" s="87"/>
      <c r="P291" s="87"/>
      <c r="Q291" s="87"/>
      <c r="R291" s="87"/>
    </row>
    <row r="292" spans="2:18" ht="15">
      <c r="B292" s="97"/>
      <c r="C292" s="81"/>
      <c r="D292" s="1059"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65"/>
      <c r="F292" s="765"/>
      <c r="G292" s="765"/>
      <c r="H292" s="765"/>
      <c r="I292" s="765"/>
      <c r="J292" s="765"/>
      <c r="K292" s="765"/>
      <c r="L292" s="765"/>
      <c r="M292" s="26"/>
      <c r="N292" s="87"/>
      <c r="O292" s="87"/>
      <c r="P292" s="87"/>
      <c r="Q292" s="87"/>
      <c r="R292" s="87"/>
    </row>
    <row r="293" spans="2:18" ht="15">
      <c r="B293" s="97"/>
      <c r="C293" s="81"/>
      <c r="D293" s="1060" t="str">
        <f>+"2)  AEP transmission equalization transfers, as shown on line "&amp;B150&amp;""</f>
        <v>2)  AEP transmission equalization transfers, as shown on line 86</v>
      </c>
      <c r="E293" s="750"/>
      <c r="F293" s="750"/>
      <c r="G293" s="750"/>
      <c r="H293" s="750"/>
      <c r="I293" s="750"/>
      <c r="J293" s="750"/>
      <c r="K293" s="750"/>
      <c r="L293" s="750"/>
      <c r="M293" s="26"/>
      <c r="N293" s="87"/>
      <c r="O293" s="87"/>
      <c r="P293" s="87"/>
      <c r="Q293" s="87"/>
      <c r="R293" s="87"/>
    </row>
    <row r="294" spans="2:18" ht="15">
      <c r="B294" s="97"/>
      <c r="C294" s="81"/>
      <c r="D294" s="1059" t="str">
        <f>+"3)  The impact of state regulatory deferrals and amortizations, as shown on line  "&amp;B151&amp;""</f>
        <v>3)  The impact of state regulatory deferrals and amortizations, as shown on line  87</v>
      </c>
      <c r="E294" s="765"/>
      <c r="F294" s="765"/>
      <c r="G294" s="765"/>
      <c r="H294" s="765"/>
      <c r="I294" s="765"/>
      <c r="J294" s="765"/>
      <c r="K294" s="765"/>
      <c r="L294" s="765"/>
      <c r="M294" s="26"/>
      <c r="N294" s="87"/>
      <c r="O294" s="87"/>
      <c r="P294" s="87"/>
      <c r="Q294" s="87"/>
      <c r="R294" s="87"/>
    </row>
    <row r="295" spans="2:18" ht="15">
      <c r="B295" s="97"/>
      <c r="C295" s="81"/>
      <c r="D295" s="1060" t="str">
        <f>"4) All A&amp;G Expenses, as shown on line "&amp;B168&amp;"."</f>
        <v>4) All A&amp;G Expenses, as shown on line 103.</v>
      </c>
      <c r="E295" s="750"/>
      <c r="F295" s="750"/>
      <c r="G295" s="750"/>
      <c r="H295" s="750"/>
      <c r="I295" s="750"/>
      <c r="J295" s="750"/>
      <c r="K295" s="750"/>
      <c r="L295" s="750"/>
      <c r="M295" s="26"/>
      <c r="N295" s="87"/>
      <c r="O295" s="87"/>
      <c r="P295" s="87"/>
      <c r="Q295" s="87"/>
      <c r="R295" s="87"/>
    </row>
    <row r="296" spans="2:18" ht="15">
      <c r="B296" s="97"/>
      <c r="C296" s="81"/>
      <c r="D296" s="1059"/>
      <c r="E296" s="765"/>
      <c r="F296" s="765"/>
      <c r="G296" s="765"/>
      <c r="H296" s="765"/>
      <c r="I296" s="765"/>
      <c r="J296" s="765"/>
      <c r="K296" s="765"/>
      <c r="L296" s="765"/>
      <c r="M296" s="26"/>
      <c r="N296" s="87"/>
      <c r="O296" s="87"/>
      <c r="P296" s="87"/>
      <c r="Q296" s="87"/>
      <c r="R296" s="87"/>
    </row>
    <row r="297" spans="2:18" ht="15">
      <c r="B297" s="99" t="s">
        <v>748</v>
      </c>
      <c r="C297" s="86"/>
      <c r="D297" s="1061"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61"/>
      <c r="F297" s="1061"/>
      <c r="G297" s="1061"/>
      <c r="H297" s="1061"/>
      <c r="I297" s="1061"/>
      <c r="J297" s="1061"/>
      <c r="K297" s="1061"/>
      <c r="L297" s="1061"/>
      <c r="M297" s="26"/>
      <c r="N297" s="87"/>
      <c r="O297" s="87"/>
      <c r="P297" s="87"/>
      <c r="Q297" s="87"/>
      <c r="R297" s="87"/>
    </row>
    <row r="298" spans="2:18" ht="15">
      <c r="B298" s="100"/>
      <c r="C298" s="15"/>
      <c r="D298" s="1061" t="s">
        <v>26</v>
      </c>
      <c r="E298" s="1061"/>
      <c r="F298" s="1061"/>
      <c r="G298" s="1061"/>
      <c r="H298" s="1061"/>
      <c r="I298" s="1061"/>
      <c r="J298" s="1061"/>
      <c r="K298" s="1061"/>
      <c r="L298" s="1061"/>
      <c r="M298" s="26"/>
      <c r="N298" s="87"/>
      <c r="O298" s="87"/>
      <c r="P298" s="87"/>
      <c r="Q298" s="87"/>
      <c r="R298" s="87"/>
    </row>
    <row r="299" spans="2:18" ht="15">
      <c r="B299" s="100"/>
      <c r="C299" s="15"/>
      <c r="D299" s="1061" t="str">
        <f>"expense is included on line "&amp;B207&amp;"."</f>
        <v>expense is included on line 135.</v>
      </c>
      <c r="E299" s="1061"/>
      <c r="F299" s="1061"/>
      <c r="G299" s="1061"/>
      <c r="H299" s="1061"/>
      <c r="I299" s="1061"/>
      <c r="J299" s="1061"/>
      <c r="K299" s="1061"/>
      <c r="L299" s="1061"/>
      <c r="M299" s="26"/>
      <c r="N299" s="87"/>
      <c r="O299" s="87"/>
      <c r="P299" s="87"/>
      <c r="Q299" s="87"/>
      <c r="R299" s="87"/>
    </row>
    <row r="300" spans="2:12" ht="15">
      <c r="B300" s="100"/>
      <c r="C300" s="15"/>
      <c r="D300" s="1061"/>
      <c r="E300" s="1061"/>
      <c r="F300" s="1061"/>
      <c r="G300" s="1061"/>
      <c r="H300" s="1061"/>
      <c r="I300" s="1061"/>
      <c r="J300" s="1061"/>
      <c r="K300" s="1061"/>
      <c r="L300" s="1062"/>
    </row>
    <row r="301" spans="2:12" ht="15" customHeight="1">
      <c r="B301" s="99" t="s">
        <v>749</v>
      </c>
      <c r="C301" s="15"/>
      <c r="D301" s="1150"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50"/>
      <c r="F301" s="1150"/>
      <c r="G301" s="1150"/>
      <c r="H301" s="1150"/>
      <c r="I301" s="1150"/>
      <c r="J301" s="1150"/>
      <c r="K301" s="1150"/>
      <c r="L301" s="1062"/>
    </row>
    <row r="302" spans="2:12" ht="15">
      <c r="B302" s="99"/>
      <c r="C302" s="15"/>
      <c r="D302" s="1150"/>
      <c r="E302" s="1150"/>
      <c r="F302" s="1150"/>
      <c r="G302" s="1150"/>
      <c r="H302" s="1150"/>
      <c r="I302" s="1150"/>
      <c r="J302" s="1150"/>
      <c r="K302" s="1150"/>
      <c r="L302" s="1062"/>
    </row>
    <row r="303" spans="2:12" ht="15">
      <c r="B303" s="99"/>
      <c r="C303" s="15"/>
      <c r="D303" s="1150"/>
      <c r="E303" s="1150"/>
      <c r="F303" s="1150"/>
      <c r="G303" s="1150"/>
      <c r="H303" s="1150"/>
      <c r="I303" s="1150"/>
      <c r="J303" s="1150"/>
      <c r="K303" s="1150"/>
      <c r="L303" s="1062"/>
    </row>
    <row r="304" spans="2:12" ht="15">
      <c r="B304" s="99"/>
      <c r="C304" s="15"/>
      <c r="D304" s="454"/>
      <c r="E304" s="454"/>
      <c r="F304" s="454"/>
      <c r="G304" s="454"/>
      <c r="H304" s="454"/>
      <c r="I304" s="454"/>
      <c r="J304" s="454"/>
      <c r="K304" s="454"/>
      <c r="L304" s="1063"/>
    </row>
    <row r="305" spans="2:18" ht="15">
      <c r="B305" s="99" t="s">
        <v>750</v>
      </c>
      <c r="C305" s="15"/>
      <c r="D305" s="115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59"/>
      <c r="F305" s="1159"/>
      <c r="G305" s="1159"/>
      <c r="H305" s="1159"/>
      <c r="I305" s="1159"/>
      <c r="J305" s="1159"/>
      <c r="K305" s="1159"/>
      <c r="L305" s="1064"/>
      <c r="M305" s="15"/>
      <c r="N305" s="87"/>
      <c r="O305" s="87"/>
      <c r="P305" s="87"/>
      <c r="Q305" s="87"/>
      <c r="R305" s="87"/>
    </row>
    <row r="306" spans="2:18" ht="15">
      <c r="B306" s="99"/>
      <c r="C306" s="15"/>
      <c r="D306" s="1159"/>
      <c r="E306" s="1159"/>
      <c r="F306" s="1159"/>
      <c r="G306" s="1159"/>
      <c r="H306" s="1159"/>
      <c r="I306" s="1159"/>
      <c r="J306" s="1159"/>
      <c r="K306" s="1159"/>
      <c r="L306" s="1064"/>
      <c r="M306" s="15"/>
      <c r="N306" s="87"/>
      <c r="O306" s="87"/>
      <c r="P306" s="87"/>
      <c r="Q306" s="87"/>
      <c r="R306" s="87"/>
    </row>
    <row r="307" spans="2:18" ht="15">
      <c r="B307" s="99"/>
      <c r="C307" s="15"/>
      <c r="D307" s="1160"/>
      <c r="E307" s="1160"/>
      <c r="F307" s="1160"/>
      <c r="G307" s="1160"/>
      <c r="H307" s="1160"/>
      <c r="I307" s="1160"/>
      <c r="J307" s="1160"/>
      <c r="K307" s="1160"/>
      <c r="L307" s="1064"/>
      <c r="M307" s="15"/>
      <c r="N307" s="87"/>
      <c r="O307" s="87"/>
      <c r="P307" s="87"/>
      <c r="Q307" s="87"/>
      <c r="R307" s="87"/>
    </row>
    <row r="308" spans="2:18" ht="15">
      <c r="B308" s="99"/>
      <c r="C308" s="15"/>
      <c r="D308" s="116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62"/>
      <c r="F308" s="1162"/>
      <c r="G308" s="1162"/>
      <c r="H308" s="1162"/>
      <c r="I308" s="1162"/>
      <c r="J308" s="1162"/>
      <c r="K308" s="1056"/>
      <c r="L308" s="1064"/>
      <c r="M308" s="15"/>
      <c r="N308" s="87"/>
      <c r="O308" s="87"/>
      <c r="P308" s="87"/>
      <c r="Q308" s="87"/>
      <c r="R308" s="87"/>
    </row>
    <row r="309" spans="2:18" ht="15">
      <c r="B309" s="99"/>
      <c r="C309" s="15"/>
      <c r="D309" s="1162"/>
      <c r="E309" s="1162"/>
      <c r="F309" s="1162"/>
      <c r="G309" s="1162"/>
      <c r="H309" s="1162"/>
      <c r="I309" s="1162"/>
      <c r="J309" s="1162"/>
      <c r="K309" s="1056"/>
      <c r="L309" s="1064"/>
      <c r="M309" s="15"/>
      <c r="N309" s="87"/>
      <c r="O309" s="87"/>
      <c r="P309" s="87"/>
      <c r="Q309" s="87"/>
      <c r="R309" s="87"/>
    </row>
    <row r="310" spans="2:18" ht="15">
      <c r="B310" s="99"/>
      <c r="C310" s="15"/>
      <c r="D310" s="1064" t="str">
        <f>"The company records referenced on lines "&amp;B171&amp;" and "&amp;B172&amp;" is the "&amp;F7&amp;" general ledger."</f>
        <v>The company records referenced on lines 105 and 106 is the KINGSPORT POWER COMPANY general ledger.</v>
      </c>
      <c r="E310" s="1056"/>
      <c r="F310" s="1056"/>
      <c r="G310" s="1056"/>
      <c r="H310" s="1056"/>
      <c r="I310" s="1056"/>
      <c r="J310" s="1056"/>
      <c r="K310" s="1056"/>
      <c r="L310" s="1064"/>
      <c r="M310" s="15"/>
      <c r="N310" s="87"/>
      <c r="O310" s="87"/>
      <c r="P310" s="87"/>
      <c r="Q310" s="87"/>
      <c r="R310" s="87"/>
    </row>
    <row r="311" spans="2:18" ht="6" customHeight="1">
      <c r="B311" s="99"/>
      <c r="C311" s="15"/>
      <c r="D311" s="1064"/>
      <c r="E311" s="1056"/>
      <c r="F311" s="1056"/>
      <c r="G311" s="1056"/>
      <c r="H311" s="1056"/>
      <c r="I311" s="1056"/>
      <c r="J311" s="1056"/>
      <c r="K311" s="1056"/>
      <c r="L311" s="1064"/>
      <c r="M311" s="15"/>
      <c r="N311" s="87"/>
      <c r="O311" s="87"/>
      <c r="P311" s="87"/>
      <c r="Q311" s="87"/>
      <c r="R311" s="87"/>
    </row>
    <row r="312" spans="1:18" ht="15">
      <c r="A312" s="800"/>
      <c r="B312" s="99" t="s">
        <v>751</v>
      </c>
      <c r="C312" s="15"/>
      <c r="D312" s="1064" t="s">
        <v>66</v>
      </c>
      <c r="E312" s="1056"/>
      <c r="F312" s="1056"/>
      <c r="G312" s="1056"/>
      <c r="H312" s="1056"/>
      <c r="I312" s="1056"/>
      <c r="J312" s="1056"/>
      <c r="K312" s="1056"/>
      <c r="L312" s="1064"/>
      <c r="M312" s="15"/>
      <c r="N312" s="87"/>
      <c r="O312" s="87"/>
      <c r="P312" s="87"/>
      <c r="Q312" s="87"/>
      <c r="R312" s="87"/>
    </row>
    <row r="313" spans="2:18" ht="6" customHeight="1">
      <c r="B313" s="99"/>
      <c r="C313" s="15"/>
      <c r="D313" s="1056"/>
      <c r="E313" s="1056"/>
      <c r="F313" s="1056"/>
      <c r="G313" s="1056"/>
      <c r="H313" s="1056"/>
      <c r="I313" s="1056"/>
      <c r="J313" s="1056"/>
      <c r="K313" s="1056"/>
      <c r="L313" s="1064"/>
      <c r="M313" s="15"/>
      <c r="N313" s="87"/>
      <c r="O313" s="87"/>
      <c r="P313" s="87"/>
      <c r="Q313" s="87"/>
      <c r="R313" s="87"/>
    </row>
    <row r="314" spans="1:18" ht="15">
      <c r="A314" s="800"/>
      <c r="B314" s="144" t="s">
        <v>752</v>
      </c>
      <c r="D314" s="1162" t="s">
        <v>793</v>
      </c>
      <c r="E314" s="1163"/>
      <c r="F314" s="1163"/>
      <c r="G314" s="1163"/>
      <c r="H314" s="1163"/>
      <c r="I314" s="1163"/>
      <c r="J314" s="1163"/>
      <c r="K314" s="1062"/>
      <c r="L314" s="1061"/>
      <c r="M314" s="15"/>
      <c r="N314" s="87"/>
      <c r="O314" s="87"/>
      <c r="P314" s="87"/>
      <c r="Q314" s="87"/>
      <c r="R314" s="87"/>
    </row>
    <row r="315" spans="1:18" ht="15">
      <c r="A315" s="800"/>
      <c r="B315" s="144"/>
      <c r="D315" s="1145"/>
      <c r="E315" s="1145"/>
      <c r="F315" s="1145"/>
      <c r="G315" s="1145"/>
      <c r="H315" s="1145"/>
      <c r="I315" s="1145"/>
      <c r="J315" s="1145"/>
      <c r="K315" s="1063"/>
      <c r="L315" s="1064"/>
      <c r="M315" s="15"/>
      <c r="N315" s="87"/>
      <c r="O315" s="87"/>
      <c r="P315" s="87"/>
      <c r="Q315" s="87"/>
      <c r="R315" s="87"/>
    </row>
    <row r="316" spans="1:18" ht="15">
      <c r="A316" s="800"/>
      <c r="B316" s="144"/>
      <c r="D316" s="1163"/>
      <c r="E316" s="1163"/>
      <c r="F316" s="1163"/>
      <c r="G316" s="1163"/>
      <c r="H316" s="1163"/>
      <c r="I316" s="1163"/>
      <c r="J316" s="1163"/>
      <c r="K316" s="1062"/>
      <c r="L316" s="1061"/>
      <c r="M316" s="15"/>
      <c r="N316" s="87"/>
      <c r="O316" s="87"/>
      <c r="P316" s="87"/>
      <c r="Q316" s="87"/>
      <c r="R316" s="87"/>
    </row>
    <row r="317" spans="2:18" ht="6" customHeight="1">
      <c r="B317" s="16"/>
      <c r="D317" s="1062"/>
      <c r="E317" s="1062"/>
      <c r="F317" s="1062"/>
      <c r="G317" s="1062"/>
      <c r="H317" s="1062"/>
      <c r="I317" s="1062"/>
      <c r="J317" s="1062"/>
      <c r="K317" s="1062"/>
      <c r="L317" s="1061"/>
      <c r="M317" s="15"/>
      <c r="N317" s="87"/>
      <c r="O317" s="87"/>
      <c r="P317" s="87"/>
      <c r="Q317" s="87"/>
      <c r="R317" s="87"/>
    </row>
    <row r="318" spans="2:18" ht="15">
      <c r="B318" s="99" t="s">
        <v>753</v>
      </c>
      <c r="C318" s="15"/>
      <c r="D318" s="1164"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45"/>
      <c r="F318" s="1145"/>
      <c r="G318" s="1145"/>
      <c r="H318" s="1145"/>
      <c r="I318" s="1145"/>
      <c r="J318" s="1145"/>
      <c r="K318" s="1145"/>
      <c r="L318" s="1065"/>
      <c r="M318" s="15"/>
      <c r="N318" s="87"/>
      <c r="O318" s="87"/>
      <c r="P318" s="87"/>
      <c r="Q318" s="87"/>
      <c r="R318" s="87"/>
    </row>
    <row r="319" spans="2:18" ht="15">
      <c r="B319" s="99"/>
      <c r="C319" s="15"/>
      <c r="D319" s="1163"/>
      <c r="E319" s="1163"/>
      <c r="F319" s="1163"/>
      <c r="G319" s="1163"/>
      <c r="H319" s="1163"/>
      <c r="I319" s="1163"/>
      <c r="J319" s="1163"/>
      <c r="K319" s="1163"/>
      <c r="L319" s="1066"/>
      <c r="M319" s="15"/>
      <c r="N319" s="87"/>
      <c r="O319" s="87"/>
      <c r="P319" s="87"/>
      <c r="Q319" s="87"/>
      <c r="R319" s="87"/>
    </row>
    <row r="320" spans="2:18" ht="6" customHeight="1">
      <c r="B320" s="99"/>
      <c r="C320" s="15"/>
      <c r="D320" s="1066"/>
      <c r="E320" s="1066"/>
      <c r="F320" s="1066"/>
      <c r="G320" s="1066"/>
      <c r="H320" s="1066"/>
      <c r="I320" s="1066"/>
      <c r="J320" s="1066"/>
      <c r="K320" s="1066"/>
      <c r="L320" s="1066"/>
      <c r="M320" s="15"/>
      <c r="N320" s="87"/>
      <c r="O320" s="87"/>
      <c r="P320" s="87"/>
      <c r="Q320" s="87"/>
      <c r="R320" s="87"/>
    </row>
    <row r="321" spans="2:18" ht="15">
      <c r="B321" s="97" t="s">
        <v>754</v>
      </c>
      <c r="C321" s="81"/>
      <c r="D321" s="1060" t="s">
        <v>225</v>
      </c>
      <c r="E321" s="1067"/>
      <c r="F321" s="1067"/>
      <c r="G321" s="1067"/>
      <c r="H321" s="1067"/>
      <c r="I321" s="1067"/>
      <c r="J321" s="1067"/>
      <c r="K321" s="1067"/>
      <c r="L321" s="1067"/>
      <c r="M321" s="15"/>
      <c r="N321" s="87"/>
      <c r="O321" s="87"/>
      <c r="P321" s="87"/>
      <c r="Q321" s="87"/>
      <c r="R321" s="87"/>
    </row>
    <row r="322" spans="2:18" ht="15">
      <c r="B322" s="97"/>
      <c r="C322" s="81"/>
      <c r="D322" s="1060" t="s">
        <v>414</v>
      </c>
      <c r="E322" s="1067"/>
      <c r="F322" s="1067"/>
      <c r="G322" s="1067"/>
      <c r="H322" s="1067"/>
      <c r="I322" s="1067"/>
      <c r="J322" s="1067"/>
      <c r="K322" s="1067"/>
      <c r="L322" s="1067"/>
      <c r="M322" s="15"/>
      <c r="N322" s="87"/>
      <c r="O322" s="87"/>
      <c r="P322" s="87"/>
      <c r="Q322" s="87"/>
      <c r="R322" s="87"/>
    </row>
    <row r="323" spans="2:18" ht="15">
      <c r="B323" s="97"/>
      <c r="C323" s="81"/>
      <c r="D323" s="1060" t="s">
        <v>415</v>
      </c>
      <c r="E323" s="1067"/>
      <c r="F323" s="1067"/>
      <c r="G323" s="1067"/>
      <c r="H323" s="1067"/>
      <c r="I323" s="1067"/>
      <c r="J323" s="1067"/>
      <c r="K323" s="1067"/>
      <c r="L323" s="1067"/>
      <c r="M323" s="15"/>
      <c r="N323" s="87"/>
      <c r="O323" s="87"/>
      <c r="P323" s="87"/>
      <c r="Q323" s="87"/>
      <c r="R323" s="87"/>
    </row>
    <row r="324" spans="2:18" ht="15">
      <c r="B324" s="97"/>
      <c r="C324" s="81"/>
      <c r="D324" s="1061" t="s">
        <v>420</v>
      </c>
      <c r="E324" s="1067"/>
      <c r="F324" s="1067"/>
      <c r="G324" s="1067"/>
      <c r="H324" s="1067"/>
      <c r="I324" s="1067"/>
      <c r="J324" s="1067"/>
      <c r="K324" s="1067"/>
      <c r="L324" s="1067"/>
      <c r="M324" s="15"/>
      <c r="N324" s="87"/>
      <c r="O324" s="87"/>
      <c r="P324" s="87"/>
      <c r="Q324" s="87"/>
      <c r="R324" s="87"/>
    </row>
    <row r="325" spans="2:18" ht="6" customHeight="1">
      <c r="B325" s="97"/>
      <c r="C325" s="81"/>
      <c r="D325" s="1061"/>
      <c r="E325" s="1067"/>
      <c r="F325" s="1067"/>
      <c r="G325" s="1067"/>
      <c r="H325" s="1067"/>
      <c r="I325" s="1067"/>
      <c r="J325" s="1067"/>
      <c r="K325" s="1067"/>
      <c r="L325" s="1067"/>
      <c r="M325" s="15"/>
      <c r="N325" s="87"/>
      <c r="O325" s="87"/>
      <c r="P325" s="87"/>
      <c r="Q325" s="87"/>
      <c r="R325" s="87"/>
    </row>
    <row r="326" spans="2:18" ht="15" customHeight="1">
      <c r="B326" s="97" t="s">
        <v>755</v>
      </c>
      <c r="C326" s="81"/>
      <c r="D326" s="1153" t="s">
        <v>882</v>
      </c>
      <c r="E326" s="1154"/>
      <c r="F326" s="1154"/>
      <c r="G326" s="1154"/>
      <c r="H326" s="1154"/>
      <c r="I326" s="1154"/>
      <c r="J326" s="1154"/>
      <c r="K326" s="1154"/>
      <c r="L326" s="1155"/>
      <c r="M326" s="15"/>
      <c r="N326" s="87"/>
      <c r="O326" s="87"/>
      <c r="P326" s="87"/>
      <c r="Q326" s="87"/>
      <c r="R326" s="87"/>
    </row>
    <row r="327" spans="2:18" ht="15">
      <c r="B327" s="97"/>
      <c r="C327" s="81"/>
      <c r="D327" s="1154"/>
      <c r="E327" s="1154"/>
      <c r="F327" s="1154"/>
      <c r="G327" s="1154"/>
      <c r="H327" s="1154"/>
      <c r="I327" s="1154"/>
      <c r="J327" s="1154"/>
      <c r="K327" s="1154"/>
      <c r="L327" s="1155"/>
      <c r="M327" s="15"/>
      <c r="N327" s="87"/>
      <c r="O327" s="87"/>
      <c r="P327" s="87"/>
      <c r="Q327" s="87"/>
      <c r="R327" s="87"/>
    </row>
    <row r="328" spans="2:18" ht="15">
      <c r="B328" s="97"/>
      <c r="C328" s="81"/>
      <c r="D328" s="1155"/>
      <c r="E328" s="1155"/>
      <c r="F328" s="1155"/>
      <c r="G328" s="1155"/>
      <c r="H328" s="1155"/>
      <c r="I328" s="1155"/>
      <c r="J328" s="1155"/>
      <c r="K328" s="1155"/>
      <c r="L328" s="1155"/>
      <c r="M328" s="15"/>
      <c r="N328" s="87"/>
      <c r="O328" s="87"/>
      <c r="P328" s="87"/>
      <c r="Q328" s="87"/>
      <c r="R328" s="87"/>
    </row>
    <row r="329" spans="2:18" ht="6" customHeight="1">
      <c r="B329" s="97"/>
      <c r="C329" s="81"/>
      <c r="D329" s="754"/>
      <c r="E329" s="754"/>
      <c r="F329" s="754"/>
      <c r="G329" s="754"/>
      <c r="H329" s="754"/>
      <c r="I329" s="754"/>
      <c r="J329" s="754"/>
      <c r="K329" s="754"/>
      <c r="L329" s="26"/>
      <c r="M329" s="15"/>
      <c r="N329" s="87"/>
      <c r="O329" s="87"/>
      <c r="P329" s="87"/>
      <c r="Q329" s="87"/>
      <c r="R329" s="87"/>
    </row>
    <row r="330" spans="2:18" ht="15">
      <c r="B330" s="144" t="s">
        <v>93</v>
      </c>
      <c r="C330" s="81"/>
      <c r="D330" s="57" t="s">
        <v>226</v>
      </c>
      <c r="E330" s="90"/>
      <c r="F330" s="90"/>
      <c r="G330" s="90"/>
      <c r="H330" s="90"/>
      <c r="I330" s="90"/>
      <c r="J330" s="90"/>
      <c r="K330" s="15"/>
      <c r="L330" s="15"/>
      <c r="M330" s="15"/>
      <c r="N330" s="87"/>
      <c r="O330" s="87"/>
      <c r="P330" s="87"/>
      <c r="Q330" s="87"/>
      <c r="R330" s="87"/>
    </row>
    <row r="331" spans="2:18" ht="6" customHeight="1">
      <c r="B331" s="144"/>
      <c r="C331" s="81"/>
      <c r="D331" s="90"/>
      <c r="E331" s="90"/>
      <c r="F331" s="90"/>
      <c r="G331" s="90"/>
      <c r="H331" s="90"/>
      <c r="I331" s="90"/>
      <c r="J331" s="90"/>
      <c r="K331" s="15"/>
      <c r="L331" s="15"/>
      <c r="M331" s="15"/>
      <c r="N331" s="87"/>
      <c r="O331" s="87"/>
      <c r="P331" s="87"/>
      <c r="Q331" s="87"/>
      <c r="R331" s="87"/>
    </row>
    <row r="332" spans="2:18" ht="15">
      <c r="B332" s="97" t="s">
        <v>159</v>
      </c>
      <c r="C332" s="81"/>
      <c r="D332" s="57" t="s">
        <v>200</v>
      </c>
      <c r="H332" s="15"/>
      <c r="I332" s="15"/>
      <c r="J332" s="15"/>
      <c r="K332" s="15"/>
      <c r="L332" s="15"/>
      <c r="M332" s="15"/>
      <c r="N332" s="87"/>
      <c r="O332" s="87"/>
      <c r="P332" s="87"/>
      <c r="Q332" s="87"/>
      <c r="R332" s="87"/>
    </row>
    <row r="333" spans="2:18" ht="15">
      <c r="B333" s="97"/>
      <c r="C333" s="81"/>
      <c r="D333" s="57" t="s">
        <v>61</v>
      </c>
      <c r="H333" s="15"/>
      <c r="I333" s="15"/>
      <c r="J333" s="15"/>
      <c r="K333" s="15"/>
      <c r="L333" s="15"/>
      <c r="M333" s="15"/>
      <c r="N333" s="87"/>
      <c r="O333" s="87"/>
      <c r="P333" s="87"/>
      <c r="Q333" s="87"/>
      <c r="R333" s="87"/>
    </row>
    <row r="334" spans="2:18" ht="15">
      <c r="B334" s="97"/>
      <c r="C334" s="81"/>
      <c r="D334" s="57" t="s">
        <v>62</v>
      </c>
      <c r="H334" s="15"/>
      <c r="I334" s="15"/>
      <c r="J334" s="15"/>
      <c r="K334" s="15"/>
      <c r="L334" s="15"/>
      <c r="M334" s="15"/>
      <c r="N334" s="87"/>
      <c r="O334" s="87"/>
      <c r="P334" s="87"/>
      <c r="Q334" s="87"/>
      <c r="R334" s="87"/>
    </row>
    <row r="335" spans="2:18" ht="15">
      <c r="B335" s="97"/>
      <c r="C335" s="81"/>
      <c r="D335" s="57" t="s">
        <v>63</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201</v>
      </c>
      <c r="E337" s="26" t="s">
        <v>202</v>
      </c>
      <c r="F337" s="91">
        <f>+'KGPCo Historic TCOS'!F337</f>
        <v>0.35</v>
      </c>
      <c r="G337" s="26"/>
      <c r="H337" s="15"/>
      <c r="I337" s="15"/>
      <c r="J337" s="15"/>
      <c r="K337" s="15"/>
      <c r="L337" s="15"/>
      <c r="M337" s="15"/>
      <c r="N337" s="87"/>
      <c r="O337" s="87"/>
      <c r="P337" s="87"/>
      <c r="Q337" s="87"/>
      <c r="R337" s="87"/>
    </row>
    <row r="338" spans="2:18" ht="15">
      <c r="B338" s="5"/>
      <c r="C338" s="87"/>
      <c r="D338" s="57"/>
      <c r="E338" s="26" t="s">
        <v>203</v>
      </c>
      <c r="F338" s="91">
        <f>+'KGPCo Historic TCOS'!F338</f>
        <v>0.0649</v>
      </c>
      <c r="G338" s="26" t="s">
        <v>456</v>
      </c>
      <c r="H338" s="15"/>
      <c r="I338" s="15"/>
      <c r="J338" s="15"/>
      <c r="K338" s="15"/>
      <c r="L338" s="15"/>
      <c r="M338" s="15"/>
      <c r="N338" s="87"/>
      <c r="O338" s="87"/>
      <c r="P338" s="87"/>
      <c r="Q338" s="87"/>
      <c r="R338" s="87"/>
    </row>
    <row r="339" spans="2:18" ht="15">
      <c r="B339" s="5"/>
      <c r="C339" s="87"/>
      <c r="D339" s="57"/>
      <c r="E339" s="26" t="s">
        <v>204</v>
      </c>
      <c r="F339" s="91">
        <f>+'KGPCo Historic TCOS'!F339</f>
        <v>0</v>
      </c>
      <c r="G339" s="26" t="s">
        <v>205</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206</v>
      </c>
      <c r="C341" s="81"/>
      <c r="D341" s="57" t="s">
        <v>33</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207</v>
      </c>
      <c r="C343" s="81"/>
      <c r="D343" s="57" t="s">
        <v>641</v>
      </c>
      <c r="E343" s="15"/>
      <c r="F343" s="15"/>
      <c r="G343" s="15"/>
      <c r="H343" s="15"/>
      <c r="I343" s="15"/>
      <c r="J343" s="15"/>
      <c r="K343" s="15"/>
      <c r="L343" s="15"/>
      <c r="M343" s="15"/>
      <c r="N343" s="87"/>
      <c r="O343" s="87"/>
      <c r="P343" s="87"/>
      <c r="Q343" s="87"/>
      <c r="R343" s="87"/>
    </row>
    <row r="344" spans="2:18" ht="15">
      <c r="B344" s="97"/>
      <c r="C344" s="81"/>
      <c r="D344" s="57"/>
      <c r="E344" s="26"/>
      <c r="F344" s="26"/>
      <c r="G344" s="26"/>
      <c r="H344" s="26"/>
      <c r="I344" s="26"/>
      <c r="J344" s="26"/>
      <c r="K344" s="26"/>
      <c r="L344" s="26"/>
      <c r="M344" s="26"/>
      <c r="N344" s="87"/>
      <c r="O344" s="87"/>
      <c r="P344" s="87"/>
      <c r="Q344" s="87"/>
      <c r="R344" s="87"/>
    </row>
    <row r="345" spans="2:18" ht="15">
      <c r="B345" s="97" t="s">
        <v>208</v>
      </c>
      <c r="C345" s="81"/>
      <c r="D345" s="57" t="s">
        <v>287</v>
      </c>
      <c r="E345" s="26"/>
      <c r="F345" s="26"/>
      <c r="G345" s="26"/>
      <c r="H345" s="26"/>
      <c r="I345" s="26"/>
      <c r="J345" s="26"/>
      <c r="K345" s="26"/>
      <c r="L345" s="26"/>
      <c r="M345" s="26"/>
      <c r="N345" s="87"/>
      <c r="O345" s="87"/>
      <c r="P345" s="87"/>
      <c r="Q345" s="87"/>
      <c r="R345" s="87"/>
    </row>
    <row r="346" spans="2:18" ht="6" customHeight="1">
      <c r="B346" s="97"/>
      <c r="C346" s="81"/>
      <c r="D346" s="57"/>
      <c r="E346" s="26"/>
      <c r="F346" s="26"/>
      <c r="G346" s="26"/>
      <c r="H346" s="26"/>
      <c r="I346" s="26"/>
      <c r="J346" s="26"/>
      <c r="K346" s="26"/>
      <c r="L346" s="26"/>
      <c r="M346" s="26"/>
      <c r="N346" s="87"/>
      <c r="O346" s="87"/>
      <c r="P346" s="87"/>
      <c r="Q346" s="87"/>
      <c r="R346" s="87"/>
    </row>
    <row r="347" spans="2:18" ht="15">
      <c r="B347" s="99" t="s">
        <v>209</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43" t="s">
        <v>795</v>
      </c>
      <c r="E349" s="1144"/>
      <c r="F349" s="1144"/>
      <c r="G349" s="1144"/>
      <c r="H349" s="1144"/>
      <c r="I349" s="1144"/>
      <c r="J349" s="1144"/>
      <c r="M349" s="26"/>
      <c r="N349" s="87"/>
      <c r="O349" s="87"/>
      <c r="P349" s="87"/>
      <c r="Q349" s="87"/>
      <c r="R349" s="87"/>
    </row>
    <row r="350" spans="2:18" ht="15">
      <c r="B350" s="100"/>
      <c r="C350" s="15"/>
      <c r="D350" s="1144"/>
      <c r="E350" s="1144"/>
      <c r="F350" s="1144"/>
      <c r="G350" s="1144"/>
      <c r="H350" s="1144"/>
      <c r="I350" s="1144"/>
      <c r="J350" s="1144"/>
      <c r="M350" s="26"/>
      <c r="N350" s="87"/>
      <c r="O350" s="87"/>
      <c r="P350" s="87"/>
      <c r="Q350" s="87"/>
      <c r="R350" s="87"/>
    </row>
    <row r="351" spans="2:18" ht="15">
      <c r="B351" s="100"/>
      <c r="C351" s="15"/>
      <c r="D351" s="1145"/>
      <c r="E351" s="1145"/>
      <c r="F351" s="1145"/>
      <c r="G351" s="1145"/>
      <c r="H351" s="1145"/>
      <c r="I351" s="1145"/>
      <c r="J351" s="1145"/>
      <c r="M351" s="26"/>
      <c r="N351" s="87"/>
      <c r="O351" s="87"/>
      <c r="P351" s="87"/>
      <c r="Q351" s="87"/>
      <c r="R351" s="87"/>
    </row>
    <row r="352" spans="2:18" ht="15">
      <c r="B352" s="100"/>
      <c r="C352" s="15"/>
      <c r="D352" s="1145"/>
      <c r="E352" s="1145"/>
      <c r="F352" s="1145"/>
      <c r="G352" s="1145"/>
      <c r="H352" s="1145"/>
      <c r="I352" s="1145"/>
      <c r="J352" s="1145"/>
      <c r="M352" s="26"/>
      <c r="N352" s="87"/>
      <c r="O352" s="87"/>
      <c r="P352" s="87"/>
      <c r="Q352" s="87"/>
      <c r="R352" s="87"/>
    </row>
    <row r="353" spans="2:18" ht="15">
      <c r="B353" s="100"/>
      <c r="C353" s="15"/>
      <c r="D353" s="1145"/>
      <c r="E353" s="1145"/>
      <c r="F353" s="1145"/>
      <c r="G353" s="1145"/>
      <c r="H353" s="1145"/>
      <c r="I353" s="1145"/>
      <c r="J353" s="1145"/>
      <c r="M353" s="26"/>
      <c r="N353" s="87"/>
      <c r="O353" s="87"/>
      <c r="P353" s="87"/>
      <c r="Q353" s="87"/>
      <c r="R353" s="87"/>
    </row>
    <row r="354" spans="2:18" ht="15">
      <c r="B354" s="100"/>
      <c r="C354" s="15"/>
      <c r="D354" s="1145"/>
      <c r="E354" s="1145"/>
      <c r="F354" s="1145"/>
      <c r="G354" s="1145"/>
      <c r="H354" s="1145"/>
      <c r="I354" s="1145"/>
      <c r="J354" s="1145"/>
      <c r="M354" s="26"/>
      <c r="N354" s="87"/>
      <c r="O354" s="87"/>
      <c r="P354" s="87"/>
      <c r="Q354" s="87"/>
      <c r="R354" s="87"/>
    </row>
    <row r="355" spans="2:18" ht="15">
      <c r="B355" s="100"/>
      <c r="C355" s="15"/>
      <c r="D355" s="1059"/>
      <c r="E355" s="1063"/>
      <c r="F355" s="1063"/>
      <c r="G355" s="1063"/>
      <c r="H355" s="1063"/>
      <c r="I355" s="1063"/>
      <c r="J355" s="1063"/>
      <c r="M355" s="26"/>
      <c r="N355" s="87"/>
      <c r="O355" s="87"/>
      <c r="P355" s="87"/>
      <c r="Q355" s="87"/>
      <c r="R355" s="87"/>
    </row>
    <row r="356" spans="2:18" ht="15">
      <c r="B356" s="97" t="s">
        <v>301</v>
      </c>
      <c r="C356" s="81"/>
      <c r="D356" s="1063" t="s">
        <v>347</v>
      </c>
      <c r="E356" s="1063"/>
      <c r="F356" s="1063"/>
      <c r="G356" s="1063"/>
      <c r="H356" s="1063"/>
      <c r="I356" s="1063"/>
      <c r="J356" s="1063"/>
      <c r="M356" s="26"/>
      <c r="N356" s="87"/>
      <c r="O356" s="87"/>
      <c r="P356" s="87"/>
      <c r="Q356" s="87"/>
      <c r="R356" s="87"/>
    </row>
    <row r="357" spans="2:18" ht="6" customHeight="1">
      <c r="B357" s="97"/>
      <c r="C357" s="81"/>
      <c r="D357" s="1063"/>
      <c r="E357" s="1063"/>
      <c r="F357" s="1063"/>
      <c r="G357" s="1063"/>
      <c r="H357" s="1063"/>
      <c r="I357" s="1063"/>
      <c r="J357" s="1063"/>
      <c r="M357" s="26"/>
      <c r="N357" s="87"/>
      <c r="O357" s="87"/>
      <c r="P357" s="87"/>
      <c r="Q357" s="87"/>
      <c r="R357" s="87"/>
    </row>
    <row r="358" spans="2:18" ht="15">
      <c r="B358" s="971" t="s">
        <v>439</v>
      </c>
      <c r="C358" s="972"/>
      <c r="D358" s="1063" t="s">
        <v>794</v>
      </c>
      <c r="E358" s="752"/>
      <c r="F358" s="752"/>
      <c r="G358" s="752"/>
      <c r="H358" s="752"/>
      <c r="I358" s="752"/>
      <c r="J358" s="752"/>
      <c r="K358" s="10"/>
      <c r="L358" s="10"/>
      <c r="M358" s="26"/>
      <c r="N358" s="87"/>
      <c r="O358" s="87"/>
      <c r="P358" s="87"/>
      <c r="Q358" s="87"/>
      <c r="R358" s="87"/>
    </row>
    <row r="359" spans="2:18" ht="15">
      <c r="B359" s="97"/>
      <c r="C359" s="81"/>
      <c r="D359" s="752"/>
      <c r="E359" s="752"/>
      <c r="F359" s="752"/>
      <c r="G359" s="752"/>
      <c r="H359" s="752"/>
      <c r="I359" s="752"/>
      <c r="J359" s="752"/>
      <c r="K359" s="10"/>
      <c r="L359" s="10"/>
      <c r="M359" s="26"/>
      <c r="N359" s="87"/>
      <c r="O359" s="87"/>
      <c r="P359" s="87"/>
      <c r="Q359" s="87"/>
      <c r="R359" s="87"/>
    </row>
    <row r="360" spans="2:18" ht="15">
      <c r="B360" s="97"/>
      <c r="C360" s="81"/>
      <c r="M360" s="26"/>
      <c r="N360" s="87"/>
      <c r="O360" s="87"/>
      <c r="P360" s="87"/>
      <c r="Q360" s="87"/>
      <c r="R360" s="87"/>
    </row>
    <row r="361" spans="2:18" ht="15">
      <c r="B361" s="97"/>
      <c r="C361" s="81"/>
      <c r="I361" s="87" t="s">
        <v>348</v>
      </c>
      <c r="J361" s="201"/>
      <c r="M361" s="26"/>
      <c r="N361" s="87"/>
      <c r="O361" s="87"/>
      <c r="P361" s="87"/>
      <c r="Q361" s="87"/>
      <c r="R361" s="87"/>
    </row>
    <row r="362" spans="2:18" ht="15">
      <c r="B362" s="97"/>
      <c r="C362" s="81"/>
      <c r="I362" s="200" t="s">
        <v>724</v>
      </c>
      <c r="J362" s="201">
        <v>1</v>
      </c>
      <c r="M362" s="26"/>
      <c r="N362" s="87"/>
      <c r="O362" s="87"/>
      <c r="P362" s="87"/>
      <c r="Q362" s="87"/>
      <c r="R362" s="87"/>
    </row>
    <row r="363" spans="2:18" ht="15">
      <c r="B363" s="97"/>
      <c r="C363" s="81"/>
      <c r="I363" s="200" t="s">
        <v>191</v>
      </c>
      <c r="J363" s="201">
        <f>+'KGPCo Historic TCOS'!J$70</f>
        <v>0.15453628874070158</v>
      </c>
      <c r="M363" s="26"/>
      <c r="N363" s="87"/>
      <c r="O363" s="87"/>
      <c r="P363" s="87"/>
      <c r="Q363" s="87"/>
      <c r="R363" s="87"/>
    </row>
    <row r="364" spans="2:18" ht="15">
      <c r="B364" s="97"/>
      <c r="C364" s="81"/>
      <c r="I364" s="200" t="s">
        <v>25</v>
      </c>
      <c r="J364" s="201">
        <f>+'KGPCo Historic TCOS'!J$71</f>
        <v>0.15561768504854828</v>
      </c>
      <c r="M364" s="26"/>
      <c r="N364" s="87"/>
      <c r="O364" s="87"/>
      <c r="P364" s="87"/>
      <c r="Q364" s="87"/>
      <c r="R364" s="87"/>
    </row>
    <row r="365" spans="2:18" ht="15">
      <c r="B365" s="97"/>
      <c r="C365" s="81"/>
      <c r="I365" s="200" t="s">
        <v>722</v>
      </c>
      <c r="J365" s="202">
        <v>0</v>
      </c>
      <c r="M365" s="26"/>
      <c r="N365" s="87"/>
      <c r="O365" s="87"/>
      <c r="P365" s="87"/>
      <c r="Q365" s="87"/>
      <c r="R365" s="87"/>
    </row>
    <row r="366" spans="2:18" ht="15">
      <c r="B366" s="97"/>
      <c r="C366" s="81"/>
      <c r="I366" s="200" t="s">
        <v>192</v>
      </c>
      <c r="J366" s="201">
        <f>+'KGPCo Historic TCOS'!J$100</f>
        <v>0.12939189520750893</v>
      </c>
      <c r="M366" s="26"/>
      <c r="N366" s="87"/>
      <c r="O366" s="87"/>
      <c r="P366" s="87"/>
      <c r="Q366" s="87"/>
      <c r="R366" s="87"/>
    </row>
    <row r="367" spans="2:18" ht="15">
      <c r="B367" s="764"/>
      <c r="C367"/>
      <c r="D367"/>
      <c r="E367"/>
      <c r="F367"/>
      <c r="G367"/>
      <c r="H367"/>
      <c r="I367" s="200" t="s">
        <v>715</v>
      </c>
      <c r="J367" s="201">
        <f>$L$231</f>
        <v>1</v>
      </c>
      <c r="M367" s="26"/>
      <c r="N367" s="87"/>
      <c r="O367" s="87"/>
      <c r="P367" s="87"/>
      <c r="Q367" s="87"/>
      <c r="R367" s="87"/>
    </row>
    <row r="368" spans="2:18" ht="15">
      <c r="B368" s="764"/>
      <c r="C368"/>
      <c r="D368"/>
      <c r="E368"/>
      <c r="F368"/>
      <c r="G368"/>
      <c r="H368"/>
      <c r="I368" s="200" t="s">
        <v>646</v>
      </c>
      <c r="J368" s="201">
        <f>$J$75</f>
        <v>1</v>
      </c>
      <c r="M368" s="26"/>
      <c r="N368" s="87"/>
      <c r="O368" s="87"/>
      <c r="P368" s="87"/>
      <c r="Q368" s="87"/>
      <c r="R368" s="87"/>
    </row>
    <row r="369" spans="2:18" ht="15">
      <c r="B369" s="764"/>
      <c r="C369"/>
      <c r="D369"/>
      <c r="E369"/>
      <c r="F369"/>
      <c r="G369"/>
      <c r="H369"/>
      <c r="I369" s="200" t="s">
        <v>727</v>
      </c>
      <c r="J369" s="201">
        <f>$L$241</f>
        <v>0.1151916355991698</v>
      </c>
      <c r="M369" s="26"/>
      <c r="N369" s="87"/>
      <c r="O369" s="87"/>
      <c r="P369" s="87"/>
      <c r="Q369" s="87"/>
      <c r="R369" s="87"/>
    </row>
    <row r="370" spans="2:18" ht="15">
      <c r="B370" s="764"/>
      <c r="C370"/>
      <c r="D370"/>
      <c r="E370"/>
      <c r="F370"/>
      <c r="G370"/>
      <c r="H370"/>
      <c r="M370" s="26"/>
      <c r="N370" s="87"/>
      <c r="O370" s="87"/>
      <c r="P370" s="87"/>
      <c r="Q370" s="87"/>
      <c r="R370" s="87"/>
    </row>
    <row r="371" spans="2:18" ht="15">
      <c r="B371" s="764"/>
      <c r="C371"/>
      <c r="D371"/>
      <c r="E371"/>
      <c r="F371"/>
      <c r="G371"/>
      <c r="H371"/>
      <c r="M371" s="26"/>
      <c r="N371" s="87"/>
      <c r="O371" s="87"/>
      <c r="P371" s="87"/>
      <c r="Q371" s="87"/>
      <c r="R371" s="87"/>
    </row>
    <row r="372" spans="2:18" ht="15">
      <c r="B372" s="764"/>
      <c r="C372"/>
      <c r="D372"/>
      <c r="E372"/>
      <c r="F372"/>
      <c r="G372"/>
      <c r="H372"/>
      <c r="M372" s="26"/>
      <c r="N372" s="87"/>
      <c r="O372" s="87"/>
      <c r="P372" s="87"/>
      <c r="Q372" s="87"/>
      <c r="R372" s="87"/>
    </row>
    <row r="373" spans="2:18" ht="15">
      <c r="B373" s="764"/>
      <c r="C373"/>
      <c r="D373"/>
      <c r="E373"/>
      <c r="F373"/>
      <c r="G373"/>
      <c r="H373"/>
      <c r="M373" s="26"/>
      <c r="N373" s="87"/>
      <c r="O373" s="87"/>
      <c r="P373" s="87"/>
      <c r="Q373" s="87"/>
      <c r="R373" s="87"/>
    </row>
    <row r="374" spans="2:18" ht="15">
      <c r="B374" s="764"/>
      <c r="C374"/>
      <c r="D374"/>
      <c r="E374"/>
      <c r="F374"/>
      <c r="G374"/>
      <c r="H374"/>
      <c r="M374" s="26"/>
      <c r="N374" s="87"/>
      <c r="O374" s="87"/>
      <c r="P374" s="87"/>
      <c r="Q374" s="87"/>
      <c r="R374" s="87"/>
    </row>
    <row r="375" spans="2:18" ht="15">
      <c r="B375" s="764"/>
      <c r="C375"/>
      <c r="D375"/>
      <c r="E375"/>
      <c r="F375"/>
      <c r="G375"/>
      <c r="H375"/>
      <c r="M375" s="26"/>
      <c r="N375" s="87"/>
      <c r="O375" s="87"/>
      <c r="P375" s="87"/>
      <c r="Q375" s="87"/>
      <c r="R375" s="87"/>
    </row>
    <row r="376" spans="2:18" ht="15">
      <c r="B376" s="764"/>
      <c r="C376"/>
      <c r="D376"/>
      <c r="E376"/>
      <c r="F376"/>
      <c r="G376"/>
      <c r="H376"/>
      <c r="M376" s="26"/>
      <c r="N376" s="87"/>
      <c r="O376" s="87"/>
      <c r="P376" s="87"/>
      <c r="Q376" s="87"/>
      <c r="R376" s="87"/>
    </row>
    <row r="377" spans="2:18" ht="15">
      <c r="B377" s="764"/>
      <c r="C377"/>
      <c r="D377"/>
      <c r="E377"/>
      <c r="F377"/>
      <c r="G377"/>
      <c r="H377"/>
      <c r="M377" s="26"/>
      <c r="N377" s="87"/>
      <c r="O377" s="87"/>
      <c r="P377" s="87"/>
      <c r="Q377" s="87"/>
      <c r="R377" s="87"/>
    </row>
    <row r="378" spans="2:18" ht="15">
      <c r="B378" s="97"/>
      <c r="C378" s="81"/>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M381" s="26"/>
      <c r="N381" s="87"/>
      <c r="O381" s="87"/>
      <c r="P381" s="87"/>
      <c r="Q381" s="87"/>
      <c r="R381" s="87"/>
    </row>
    <row r="382" spans="2:18" ht="15">
      <c r="B382" s="16"/>
      <c r="H382" s="87"/>
      <c r="I382" s="87"/>
      <c r="J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16"/>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8" ht="15">
      <c r="B390" s="5"/>
      <c r="C390" s="87"/>
      <c r="D390" s="87"/>
      <c r="E390" s="87"/>
      <c r="F390" s="87"/>
      <c r="G390" s="87"/>
      <c r="H390" s="87"/>
      <c r="K390" s="87"/>
      <c r="L390" s="87"/>
      <c r="M390" s="87"/>
      <c r="N390" s="87"/>
      <c r="O390" s="87"/>
      <c r="P390" s="87"/>
      <c r="Q390" s="87"/>
      <c r="R390" s="87"/>
    </row>
    <row r="391" spans="2:13" ht="15">
      <c r="B391" s="9"/>
      <c r="C391" s="59"/>
      <c r="D391" s="59"/>
      <c r="E391" s="59"/>
      <c r="F391" s="59"/>
      <c r="G391" s="59"/>
      <c r="H391" s="59"/>
      <c r="K391" s="59"/>
      <c r="L391" s="59"/>
      <c r="M391" s="59"/>
    </row>
    <row r="392" spans="2:13" ht="15">
      <c r="B392" s="9"/>
      <c r="C392" s="59"/>
      <c r="D392" s="59"/>
      <c r="E392" s="59"/>
      <c r="F392" s="59"/>
      <c r="G392" s="59"/>
      <c r="H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9:10" ht="15">
      <c r="I1249" s="59"/>
      <c r="J1249" s="59"/>
    </row>
  </sheetData>
  <sheetProtection/>
  <mergeCells count="16">
    <mergeCell ref="B17:I18"/>
    <mergeCell ref="I53:J53"/>
    <mergeCell ref="D326:L328"/>
    <mergeCell ref="G253:H253"/>
    <mergeCell ref="E182:E183"/>
    <mergeCell ref="D305:K307"/>
    <mergeCell ref="D35:L35"/>
    <mergeCell ref="D308:J309"/>
    <mergeCell ref="D314:J316"/>
    <mergeCell ref="D318:K319"/>
    <mergeCell ref="D349:J354"/>
    <mergeCell ref="I56:J56"/>
    <mergeCell ref="I137:J137"/>
    <mergeCell ref="D280:K281"/>
    <mergeCell ref="I140:J140"/>
    <mergeCell ref="D301:K303"/>
  </mergeCells>
  <printOptions/>
  <pageMargins left="0.25" right="0.33" top="1" bottom="0.43" header="0.75" footer="0.21"/>
  <pageSetup fitToHeight="5" horizontalDpi="600" verticalDpi="600" orientation="portrait" scale="49"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27"/>
  <sheetViews>
    <sheetView zoomScalePageLayoutView="0" workbookViewId="0" topLeftCell="A1">
      <selection activeCell="A1" sqref="A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1" t="s">
        <v>282</v>
      </c>
      <c r="B1" s="1141"/>
      <c r="C1" s="1141"/>
      <c r="D1" s="1141"/>
      <c r="E1" s="1141"/>
      <c r="F1" s="1141"/>
      <c r="G1" s="1141"/>
      <c r="H1" s="1141"/>
    </row>
    <row r="2" spans="1:8" ht="15">
      <c r="A2" s="1140" t="str">
        <f>"Cost of Service Formula Rate Using "&amp;'KGPCo Historic TCOS'!O1&amp;" FF1 Balances"</f>
        <v>Cost of Service Formula Rate Using 2011 FF1 Balances</v>
      </c>
      <c r="B2" s="1140"/>
      <c r="C2" s="1140"/>
      <c r="D2" s="1140"/>
      <c r="E2" s="1140"/>
      <c r="F2" s="1140"/>
      <c r="G2" s="1140"/>
      <c r="H2" s="1140"/>
    </row>
    <row r="3" spans="1:8" ht="15">
      <c r="A3" s="1140" t="s">
        <v>39</v>
      </c>
      <c r="B3" s="1140"/>
      <c r="C3" s="1140"/>
      <c r="D3" s="1140"/>
      <c r="E3" s="1140"/>
      <c r="F3" s="1140"/>
      <c r="G3" s="1140"/>
      <c r="H3" s="1140"/>
    </row>
    <row r="4" spans="1:7" ht="15">
      <c r="A4" s="1120" t="str">
        <f>+'KGPCo WS A  - RB Support '!A4:F4</f>
        <v>KINGSPORT POWER COMPANY</v>
      </c>
      <c r="B4" s="1120"/>
      <c r="C4" s="1120"/>
      <c r="D4" s="1120"/>
      <c r="E4" s="1120"/>
      <c r="F4" s="1120"/>
      <c r="G4" s="1120"/>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337</v>
      </c>
      <c r="C7" s="173"/>
      <c r="D7" s="176"/>
      <c r="E7" s="1106">
        <v>0.065</v>
      </c>
      <c r="F7" s="7"/>
      <c r="G7" s="151"/>
      <c r="H7" s="151"/>
      <c r="L7" s="150"/>
    </row>
    <row r="8" spans="1:12" ht="15">
      <c r="A8" s="150"/>
      <c r="B8" s="136" t="s">
        <v>74</v>
      </c>
      <c r="C8" s="173"/>
      <c r="D8" s="173"/>
      <c r="E8" s="1107">
        <v>0.998973</v>
      </c>
      <c r="F8" s="7"/>
      <c r="G8" s="151"/>
      <c r="H8" s="151"/>
      <c r="L8" s="150"/>
    </row>
    <row r="9" spans="1:12" ht="15">
      <c r="A9" s="150"/>
      <c r="B9" s="136" t="s">
        <v>338</v>
      </c>
      <c r="C9" s="173"/>
      <c r="D9" s="173"/>
      <c r="E9" s="142"/>
      <c r="F9" s="177">
        <f>ROUND(E7*E8,4)</f>
        <v>0.0649</v>
      </c>
      <c r="G9" s="151"/>
      <c r="L9" s="150"/>
    </row>
    <row r="10" spans="1:12" ht="15">
      <c r="A10" s="150"/>
      <c r="B10" s="136"/>
      <c r="C10" s="173"/>
      <c r="D10" s="173"/>
      <c r="E10" s="142"/>
      <c r="F10" s="177"/>
      <c r="G10" s="151"/>
      <c r="L10" s="150"/>
    </row>
    <row r="11" spans="1:12" ht="15">
      <c r="A11" s="150"/>
      <c r="B11" s="136"/>
      <c r="C11" s="173"/>
      <c r="D11" s="173"/>
      <c r="E11" s="173"/>
      <c r="F11" s="178"/>
      <c r="G11" s="151"/>
      <c r="L11" s="150"/>
    </row>
    <row r="12" spans="1:12" ht="15.75" thickBot="1">
      <c r="A12" s="150"/>
      <c r="B12" s="142" t="s">
        <v>885</v>
      </c>
      <c r="C12" s="142"/>
      <c r="D12" s="142"/>
      <c r="E12" s="142"/>
      <c r="F12" s="488">
        <f>ROUND(SUM(F9:F11),4)</f>
        <v>0.0649</v>
      </c>
      <c r="G12" s="151"/>
      <c r="L12" s="150"/>
    </row>
    <row r="13" spans="1:12" ht="13.5" thickTop="1">
      <c r="A13" s="150"/>
      <c r="G13" s="149"/>
      <c r="L13" s="150"/>
    </row>
    <row r="14" spans="1:12" ht="12.75">
      <c r="A14" s="150"/>
      <c r="G14" s="149"/>
      <c r="H14" s="149"/>
      <c r="L14" s="150"/>
    </row>
    <row r="15" spans="1:12" ht="12.75">
      <c r="A15" s="150"/>
      <c r="G15" s="149"/>
      <c r="H15" s="149"/>
      <c r="L15" s="150"/>
    </row>
    <row r="16" spans="1:12" ht="12.75" customHeight="1">
      <c r="A16" s="150"/>
      <c r="C16" s="142"/>
      <c r="D16" s="142"/>
      <c r="E16" s="142"/>
      <c r="F16" s="142"/>
      <c r="G16" s="149"/>
      <c r="H16" s="149"/>
      <c r="L16" s="150"/>
    </row>
    <row r="17" spans="1:12" ht="21.75" customHeight="1">
      <c r="A17" s="103" t="s">
        <v>447</v>
      </c>
      <c r="B17" s="1137" t="s">
        <v>640</v>
      </c>
      <c r="C17" s="1137"/>
      <c r="D17" s="1137"/>
      <c r="E17" s="1137"/>
      <c r="F17" s="1137"/>
      <c r="G17" s="1137"/>
      <c r="H17" s="149"/>
      <c r="I17" s="140"/>
      <c r="L17" s="149"/>
    </row>
    <row r="18" spans="1:12" ht="12.75" customHeight="1">
      <c r="A18" s="149"/>
      <c r="B18" s="1137"/>
      <c r="C18" s="1137"/>
      <c r="D18" s="1137"/>
      <c r="E18" s="1137"/>
      <c r="F18" s="1137"/>
      <c r="G18" s="1137"/>
      <c r="H18" s="149"/>
      <c r="L18" s="149"/>
    </row>
    <row r="19" spans="1:12" ht="18" customHeight="1">
      <c r="A19" s="149"/>
      <c r="B19" s="1137"/>
      <c r="C19" s="1137"/>
      <c r="D19" s="1137"/>
      <c r="E19" s="1137"/>
      <c r="F19" s="1137"/>
      <c r="G19" s="1137"/>
      <c r="H19" s="149"/>
      <c r="I19" s="149"/>
      <c r="L19" s="149"/>
    </row>
    <row r="20" spans="1:12" ht="12.75">
      <c r="A20" s="149"/>
      <c r="B20" s="149"/>
      <c r="C20" s="149"/>
      <c r="D20" s="149"/>
      <c r="E20" s="149"/>
      <c r="F20" s="149"/>
      <c r="G20" s="149"/>
      <c r="H20" s="149"/>
      <c r="I20" s="149"/>
      <c r="L20" s="149"/>
    </row>
    <row r="21" spans="1:2" ht="12.75">
      <c r="A21" s="102" t="s">
        <v>827</v>
      </c>
      <c r="B21" s="102" t="s">
        <v>828</v>
      </c>
    </row>
    <row r="227" ht="12.75">
      <c r="B227" t="s">
        <v>93</v>
      </c>
    </row>
  </sheetData>
  <sheetProtection/>
  <mergeCells count="5">
    <mergeCell ref="B17:G1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206"/>
  <sheetViews>
    <sheetView zoomScale="75" zoomScaleNormal="75" zoomScalePageLayoutView="0" workbookViewId="0" topLeftCell="A1">
      <selection activeCell="A1" sqref="A1"/>
    </sheetView>
  </sheetViews>
  <sheetFormatPr defaultColWidth="9.140625" defaultRowHeight="12.75"/>
  <cols>
    <col min="1" max="1" width="7.28125" style="475" customWidth="1"/>
    <col min="2" max="2" width="1.7109375" style="476" customWidth="1"/>
    <col min="3" max="3" width="62.421875" style="476" customWidth="1"/>
    <col min="4" max="4" width="19.140625" style="476" customWidth="1"/>
    <col min="5" max="5" width="20.421875" style="470" customWidth="1"/>
    <col min="6" max="6" width="1.7109375" style="461" customWidth="1"/>
    <col min="7" max="7" width="20.00390625" style="461" bestFit="1" customWidth="1"/>
    <col min="8" max="8" width="1.7109375" style="461" customWidth="1"/>
    <col min="9" max="9" width="21.421875" style="461" customWidth="1"/>
    <col min="10" max="10" width="1.7109375" style="461" customWidth="1"/>
    <col min="11" max="11" width="17.7109375" style="461" bestFit="1" customWidth="1"/>
    <col min="12" max="12" width="3.421875" style="461" customWidth="1"/>
    <col min="13" max="13" width="22.57421875" style="461" customWidth="1"/>
    <col min="14" max="14" width="1.28515625" style="461" customWidth="1"/>
    <col min="15" max="15" width="22.140625" style="692" customWidth="1"/>
    <col min="16" max="16384" width="9.140625" style="461" customWidth="1"/>
  </cols>
  <sheetData>
    <row r="1" spans="1:13" ht="18.75" customHeight="1">
      <c r="A1" s="1141" t="s">
        <v>282</v>
      </c>
      <c r="B1" s="1141"/>
      <c r="C1" s="1141"/>
      <c r="D1" s="1141"/>
      <c r="E1" s="1141"/>
      <c r="F1" s="1141"/>
      <c r="G1" s="1141"/>
      <c r="H1" s="1141"/>
      <c r="I1" s="1141"/>
      <c r="J1" s="1141"/>
      <c r="K1" s="1141"/>
      <c r="L1" s="1141"/>
      <c r="M1" s="1141"/>
    </row>
    <row r="2" spans="1:13" ht="18.75" customHeight="1">
      <c r="A2" s="1140" t="str">
        <f>"Cost of Service Formula Rate Using "&amp;'KGPCo Historic TCOS'!O1&amp;" FF1 Balances"</f>
        <v>Cost of Service Formula Rate Using 2011 FF1 Balances</v>
      </c>
      <c r="B2" s="1140"/>
      <c r="C2" s="1140"/>
      <c r="D2" s="1140"/>
      <c r="E2" s="1140"/>
      <c r="F2" s="1140"/>
      <c r="G2" s="1140"/>
      <c r="H2" s="1140"/>
      <c r="I2" s="1140"/>
      <c r="J2" s="1140"/>
      <c r="K2" s="1140"/>
      <c r="L2" s="1140"/>
      <c r="M2" s="1140"/>
    </row>
    <row r="3" spans="1:13" ht="18.75" customHeight="1">
      <c r="A3" s="1140" t="s">
        <v>84</v>
      </c>
      <c r="B3" s="1140"/>
      <c r="C3" s="1140"/>
      <c r="D3" s="1140"/>
      <c r="E3" s="1140"/>
      <c r="F3" s="1140"/>
      <c r="G3" s="1140"/>
      <c r="H3" s="1140"/>
      <c r="I3" s="1140"/>
      <c r="J3" s="1140"/>
      <c r="K3" s="1140"/>
      <c r="L3" s="1140"/>
      <c r="M3" s="1140"/>
    </row>
    <row r="4" spans="1:13" ht="18" customHeight="1">
      <c r="A4" s="1132" t="str">
        <f>+'KGPCo Historic TCOS'!F7</f>
        <v>KINGSPORT POWER COMPANY</v>
      </c>
      <c r="B4" s="1132"/>
      <c r="C4" s="1132"/>
      <c r="D4" s="1132"/>
      <c r="E4" s="1132"/>
      <c r="F4" s="1132"/>
      <c r="G4" s="1132"/>
      <c r="H4" s="1132"/>
      <c r="I4" s="1132"/>
      <c r="J4" s="1132"/>
      <c r="K4" s="1132"/>
      <c r="L4" s="1132"/>
      <c r="M4" s="1132"/>
    </row>
    <row r="5" spans="1:13" ht="18" customHeight="1">
      <c r="A5" s="1120"/>
      <c r="B5" s="1120"/>
      <c r="C5" s="1120"/>
      <c r="D5" s="1120"/>
      <c r="E5" s="1120"/>
      <c r="F5" s="1120"/>
      <c r="G5" s="1120"/>
      <c r="H5" s="1120"/>
      <c r="I5" s="1120"/>
      <c r="J5" s="1120"/>
      <c r="K5" s="1120"/>
      <c r="L5" s="1120"/>
      <c r="M5" s="1120"/>
    </row>
    <row r="6" spans="1:13" ht="18" customHeight="1">
      <c r="A6" s="1129"/>
      <c r="B6" s="1129"/>
      <c r="C6" s="1129"/>
      <c r="D6" s="1129"/>
      <c r="E6" s="1129"/>
      <c r="F6" s="1129"/>
      <c r="G6" s="1129"/>
      <c r="H6" s="1129"/>
      <c r="I6" s="1129"/>
      <c r="J6" s="1129"/>
      <c r="K6" s="1129"/>
      <c r="L6" s="1129"/>
      <c r="M6" s="1129"/>
    </row>
    <row r="7" spans="1:13" ht="18" customHeight="1">
      <c r="A7" s="546"/>
      <c r="B7" s="546"/>
      <c r="C7" s="546"/>
      <c r="D7" s="546"/>
      <c r="E7" s="546"/>
      <c r="F7" s="546"/>
      <c r="G7" s="546"/>
      <c r="H7" s="546"/>
      <c r="I7" s="546"/>
      <c r="J7" s="546"/>
      <c r="K7" s="546"/>
      <c r="L7" s="546"/>
      <c r="M7" s="546"/>
    </row>
    <row r="8" spans="1:13" ht="19.5" customHeight="1">
      <c r="A8" s="463"/>
      <c r="B8" s="464"/>
      <c r="C8" s="172" t="s">
        <v>757</v>
      </c>
      <c r="E8" s="172" t="s">
        <v>758</v>
      </c>
      <c r="G8" s="172" t="s">
        <v>759</v>
      </c>
      <c r="I8" s="172" t="s">
        <v>760</v>
      </c>
      <c r="K8" s="172" t="s">
        <v>676</v>
      </c>
      <c r="M8" s="172" t="s">
        <v>677</v>
      </c>
    </row>
    <row r="9" spans="1:29" ht="18">
      <c r="A9" s="631"/>
      <c r="B9" s="632"/>
      <c r="C9" s="632"/>
      <c r="D9" s="632"/>
      <c r="E9"/>
      <c r="F9"/>
      <c r="G9"/>
      <c r="H9"/>
      <c r="I9"/>
      <c r="J9"/>
      <c r="K9"/>
      <c r="L9"/>
      <c r="M9"/>
      <c r="Q9" s="175"/>
      <c r="R9" s="175"/>
      <c r="S9" s="175"/>
      <c r="T9" s="175"/>
      <c r="U9" s="175"/>
      <c r="V9" s="175"/>
      <c r="W9" s="175"/>
      <c r="X9" s="175"/>
      <c r="Y9" s="175"/>
      <c r="Z9" s="175"/>
      <c r="AA9" s="175"/>
      <c r="AB9" s="175"/>
      <c r="AC9" s="175"/>
    </row>
    <row r="10" spans="1:13" ht="19.5">
      <c r="A10" s="631" t="s">
        <v>764</v>
      </c>
      <c r="B10" s="632"/>
      <c r="C10" s="632"/>
      <c r="D10" s="632"/>
      <c r="E10" s="633" t="s">
        <v>713</v>
      </c>
      <c r="F10" s="631"/>
      <c r="G10" s="631"/>
      <c r="H10" s="631"/>
      <c r="I10" s="631"/>
      <c r="J10" s="631"/>
      <c r="K10" s="469"/>
      <c r="L10" s="469"/>
      <c r="M10" s="634"/>
    </row>
    <row r="11" spans="1:13" ht="19.5">
      <c r="A11" s="635" t="s">
        <v>712</v>
      </c>
      <c r="B11" s="632"/>
      <c r="C11" s="635" t="s">
        <v>161</v>
      </c>
      <c r="D11" s="632"/>
      <c r="E11" s="636" t="s">
        <v>855</v>
      </c>
      <c r="F11" s="631"/>
      <c r="G11" s="635" t="s">
        <v>164</v>
      </c>
      <c r="H11" s="631"/>
      <c r="I11" s="635" t="s">
        <v>756</v>
      </c>
      <c r="J11" s="631"/>
      <c r="K11" s="637" t="s">
        <v>776</v>
      </c>
      <c r="L11" s="638"/>
      <c r="M11" s="637" t="s">
        <v>165</v>
      </c>
    </row>
    <row r="12" spans="1:12" ht="19.5">
      <c r="A12" s="465"/>
      <c r="B12" s="464"/>
      <c r="C12" s="460"/>
      <c r="D12" s="460"/>
      <c r="E12" s="460" t="s">
        <v>819</v>
      </c>
      <c r="F12" s="460"/>
      <c r="G12" s="460"/>
      <c r="H12" s="460"/>
      <c r="I12" s="460"/>
      <c r="J12" s="460"/>
      <c r="K12" s="459"/>
      <c r="L12" s="459"/>
    </row>
    <row r="13" spans="1:12" ht="19.5">
      <c r="A13" s="463"/>
      <c r="B13" s="464"/>
      <c r="C13" s="464"/>
      <c r="D13" s="464"/>
      <c r="E13" s="466"/>
      <c r="F13" s="462"/>
      <c r="G13" s="462"/>
      <c r="H13" s="462"/>
      <c r="I13" s="458"/>
      <c r="J13" s="462"/>
      <c r="K13" s="459"/>
      <c r="L13" s="459"/>
    </row>
    <row r="14" spans="1:13" ht="19.5">
      <c r="A14" s="463">
        <v>1</v>
      </c>
      <c r="B14" s="464"/>
      <c r="C14" s="467" t="s">
        <v>176</v>
      </c>
      <c r="D14" s="464"/>
      <c r="E14" s="459"/>
      <c r="F14" s="459"/>
      <c r="G14" s="486"/>
      <c r="H14" s="486"/>
      <c r="I14" s="486"/>
      <c r="J14" s="486"/>
      <c r="K14" s="486"/>
      <c r="L14" s="486"/>
      <c r="M14" s="468"/>
    </row>
    <row r="15" spans="1:13" ht="19.5">
      <c r="A15" s="463">
        <f>+A14+1</f>
        <v>2</v>
      </c>
      <c r="B15" s="464"/>
      <c r="C15" s="459" t="s">
        <v>162</v>
      </c>
      <c r="D15" s="464"/>
      <c r="E15" s="1003">
        <f>'KGPCo WS H-1-Detail of Tax Amts'!E13</f>
        <v>3914062</v>
      </c>
      <c r="F15" s="459"/>
      <c r="G15" s="486"/>
      <c r="H15" s="486"/>
      <c r="I15" s="486"/>
      <c r="J15" s="486"/>
      <c r="K15" s="486"/>
      <c r="L15" s="486"/>
      <c r="M15" s="468">
        <f>+E15</f>
        <v>3914062</v>
      </c>
    </row>
    <row r="16" spans="1:13" ht="19.5">
      <c r="A16" s="463"/>
      <c r="B16" s="464"/>
      <c r="C16" s="469"/>
      <c r="D16" s="464"/>
      <c r="E16" s="938"/>
      <c r="F16" s="459"/>
      <c r="G16" s="486"/>
      <c r="H16" s="486"/>
      <c r="I16" s="486"/>
      <c r="J16" s="486"/>
      <c r="K16" s="486"/>
      <c r="L16" s="486"/>
      <c r="M16" s="468"/>
    </row>
    <row r="17" spans="1:13" ht="19.5">
      <c r="A17" s="463">
        <f>+A15+1</f>
        <v>3</v>
      </c>
      <c r="B17" s="464"/>
      <c r="C17" s="467" t="s">
        <v>177</v>
      </c>
      <c r="D17" s="464"/>
      <c r="E17" s="938"/>
      <c r="F17" s="459"/>
      <c r="G17" s="486"/>
      <c r="H17" s="486"/>
      <c r="I17" s="486"/>
      <c r="J17" s="486"/>
      <c r="K17" s="486"/>
      <c r="L17" s="486"/>
      <c r="M17" s="468"/>
    </row>
    <row r="18" spans="1:15" ht="19.5">
      <c r="A18" s="463">
        <f>+A17+1</f>
        <v>4</v>
      </c>
      <c r="B18" s="464"/>
      <c r="C18" s="462" t="s">
        <v>365</v>
      </c>
      <c r="D18" s="462"/>
      <c r="E18" s="1003">
        <f>'KGPCo WS H-1-Detail of Tax Amts'!E18</f>
        <v>848729</v>
      </c>
      <c r="F18" s="462"/>
      <c r="G18" s="486">
        <f>+E18</f>
        <v>848729</v>
      </c>
      <c r="H18" s="486"/>
      <c r="I18" s="486"/>
      <c r="J18" s="486"/>
      <c r="K18" s="486"/>
      <c r="L18" s="486"/>
      <c r="M18" s="468"/>
      <c r="O18"/>
    </row>
    <row r="19" spans="1:15" ht="19.5">
      <c r="A19" s="463">
        <f>+A18+1</f>
        <v>5</v>
      </c>
      <c r="B19" s="464"/>
      <c r="C19" s="462" t="s">
        <v>10</v>
      </c>
      <c r="D19" s="462"/>
      <c r="E19" s="1004">
        <f>'KGPCo WS H-1-Detail of Tax Amts'!E21</f>
        <v>0</v>
      </c>
      <c r="F19" s="462"/>
      <c r="G19" s="486">
        <f>+E19</f>
        <v>0</v>
      </c>
      <c r="H19" s="486"/>
      <c r="I19" s="486"/>
      <c r="J19" s="486"/>
      <c r="K19" s="486"/>
      <c r="L19" s="486"/>
      <c r="M19" s="468"/>
      <c r="O19"/>
    </row>
    <row r="20" spans="1:15" ht="19.5">
      <c r="A20" s="463"/>
      <c r="B20" s="464"/>
      <c r="C20" s="469"/>
      <c r="D20" s="464"/>
      <c r="E20" s="938"/>
      <c r="F20" s="459"/>
      <c r="G20" s="486"/>
      <c r="H20" s="486"/>
      <c r="I20" s="486"/>
      <c r="J20" s="486"/>
      <c r="K20" s="486"/>
      <c r="L20" s="486"/>
      <c r="M20" s="468"/>
      <c r="O20" s="693"/>
    </row>
    <row r="21" spans="1:15" ht="19.5">
      <c r="A21" s="463">
        <f>+A19+1</f>
        <v>6</v>
      </c>
      <c r="B21" s="464"/>
      <c r="C21" s="467" t="s">
        <v>178</v>
      </c>
      <c r="D21" s="464"/>
      <c r="E21" s="938"/>
      <c r="F21" s="459"/>
      <c r="G21" s="486"/>
      <c r="H21" s="486"/>
      <c r="I21" s="486"/>
      <c r="J21" s="486"/>
      <c r="K21" s="486"/>
      <c r="L21" s="486"/>
      <c r="M21" s="468"/>
      <c r="O21" s="693"/>
    </row>
    <row r="22" spans="1:15" ht="19.5">
      <c r="A22" s="463">
        <f>+A21+1</f>
        <v>7</v>
      </c>
      <c r="B22" s="464"/>
      <c r="C22" s="462" t="s">
        <v>174</v>
      </c>
      <c r="D22" s="464"/>
      <c r="E22" s="1003">
        <f>'KGPCo WS H-1-Detail of Tax Amts'!E24</f>
        <v>123519</v>
      </c>
      <c r="F22" s="459"/>
      <c r="G22" s="486"/>
      <c r="H22" s="486"/>
      <c r="I22" s="486">
        <f>+E22</f>
        <v>123519</v>
      </c>
      <c r="J22" s="486"/>
      <c r="K22" s="486"/>
      <c r="L22" s="486"/>
      <c r="M22" s="468"/>
      <c r="O22" s="693"/>
    </row>
    <row r="23" spans="1:13" ht="19.5">
      <c r="A23" s="463">
        <f>+A22+1</f>
        <v>8</v>
      </c>
      <c r="B23" s="464"/>
      <c r="C23" s="462" t="s">
        <v>167</v>
      </c>
      <c r="D23" s="464"/>
      <c r="E23" s="1003">
        <f>'KGPCo WS H-1-Detail of Tax Amts'!E26</f>
        <v>532</v>
      </c>
      <c r="F23" s="459"/>
      <c r="G23" s="459"/>
      <c r="H23" s="459"/>
      <c r="I23" s="468">
        <f>+E23</f>
        <v>532</v>
      </c>
      <c r="J23" s="462"/>
      <c r="K23" s="459"/>
      <c r="L23" s="459"/>
      <c r="M23" s="468"/>
    </row>
    <row r="24" spans="1:13" ht="19.5">
      <c r="A24" s="463">
        <f>+A23+1</f>
        <v>9</v>
      </c>
      <c r="B24" s="464"/>
      <c r="C24" s="462" t="s">
        <v>168</v>
      </c>
      <c r="D24" s="464"/>
      <c r="E24" s="1003">
        <f>'KGPCo WS H-1-Detail of Tax Amts'!E28</f>
        <v>-177</v>
      </c>
      <c r="F24" s="459"/>
      <c r="G24" s="459"/>
      <c r="H24" s="459"/>
      <c r="I24" s="468">
        <f>+E24</f>
        <v>-177</v>
      </c>
      <c r="J24" s="466"/>
      <c r="K24" s="459"/>
      <c r="L24" s="459"/>
      <c r="M24" s="468"/>
    </row>
    <row r="25" spans="1:13" ht="19.5">
      <c r="A25" s="463" t="s">
        <v>709</v>
      </c>
      <c r="B25" s="464"/>
      <c r="C25" s="459"/>
      <c r="D25" s="464"/>
      <c r="E25" s="938"/>
      <c r="F25" s="459"/>
      <c r="G25" s="459"/>
      <c r="H25" s="459"/>
      <c r="I25" s="478"/>
      <c r="J25" s="479"/>
      <c r="K25" s="482"/>
      <c r="L25" s="482"/>
      <c r="M25" s="468"/>
    </row>
    <row r="26" spans="1:13" ht="19.5">
      <c r="A26" s="463">
        <f>A24+1</f>
        <v>10</v>
      </c>
      <c r="B26" s="464"/>
      <c r="C26" s="467" t="s">
        <v>323</v>
      </c>
      <c r="D26" s="464"/>
      <c r="E26" s="938"/>
      <c r="F26" s="459"/>
      <c r="G26" s="459"/>
      <c r="H26" s="459"/>
      <c r="I26" s="478"/>
      <c r="J26" s="479"/>
      <c r="K26" s="482"/>
      <c r="L26" s="482"/>
      <c r="M26" s="468"/>
    </row>
    <row r="27" spans="1:13" ht="19.5">
      <c r="A27" s="463">
        <f>A26+1</f>
        <v>11</v>
      </c>
      <c r="B27" s="464"/>
      <c r="C27" s="474" t="s">
        <v>324</v>
      </c>
      <c r="D27" s="699"/>
      <c r="E27" s="1003">
        <f>'KGPCo WS H-1-Detail of Tax Amts'!E31</f>
        <v>0</v>
      </c>
      <c r="F27" s="474"/>
      <c r="G27" s="459"/>
      <c r="H27" s="459"/>
      <c r="I27" s="478"/>
      <c r="J27" s="479"/>
      <c r="K27" s="482"/>
      <c r="L27" s="482"/>
      <c r="M27" s="468">
        <f>E27</f>
        <v>0</v>
      </c>
    </row>
    <row r="28" spans="1:13" ht="19.5">
      <c r="A28" s="463"/>
      <c r="B28" s="464"/>
      <c r="C28" s="459"/>
      <c r="D28" s="464"/>
      <c r="E28" s="938"/>
      <c r="F28" s="459"/>
      <c r="G28" s="459"/>
      <c r="H28" s="459"/>
      <c r="I28" s="478"/>
      <c r="J28" s="479"/>
      <c r="K28" s="482"/>
      <c r="L28" s="482"/>
      <c r="M28" s="468"/>
    </row>
    <row r="29" spans="1:13" ht="19.5">
      <c r="A29" s="471">
        <f>+A27+1</f>
        <v>12</v>
      </c>
      <c r="B29" s="472"/>
      <c r="C29" s="467" t="s">
        <v>175</v>
      </c>
      <c r="D29" s="473"/>
      <c r="E29" s="938"/>
      <c r="F29" s="459"/>
      <c r="G29" s="468"/>
      <c r="H29" s="468"/>
      <c r="I29" s="468"/>
      <c r="J29" s="468"/>
      <c r="K29" s="468"/>
      <c r="L29" s="468"/>
      <c r="M29" s="468"/>
    </row>
    <row r="30" spans="1:13" ht="19.5">
      <c r="A30" s="471">
        <f>A29+1</f>
        <v>13</v>
      </c>
      <c r="B30" s="472"/>
      <c r="C30" s="459" t="s">
        <v>322</v>
      </c>
      <c r="D30" s="473"/>
      <c r="E30" s="1003">
        <f>'KGPCo WS H-1-Detail of Tax Amts'!E34</f>
        <v>0</v>
      </c>
      <c r="F30" s="474"/>
      <c r="G30" s="468"/>
      <c r="H30" s="468"/>
      <c r="I30" s="468"/>
      <c r="J30" s="468"/>
      <c r="K30" s="468"/>
      <c r="L30" s="468"/>
      <c r="M30" s="468">
        <f>E30</f>
        <v>0</v>
      </c>
    </row>
    <row r="31" spans="1:13" ht="19.5">
      <c r="A31" s="463">
        <f>A30+1</f>
        <v>14</v>
      </c>
      <c r="B31" s="464"/>
      <c r="C31" s="459" t="s">
        <v>169</v>
      </c>
      <c r="D31" s="464"/>
      <c r="E31" s="541">
        <f>'KGPCo WS H-1-Detail of Tax Amts'!E36</f>
        <v>501624</v>
      </c>
      <c r="F31" s="459"/>
      <c r="G31" s="468"/>
      <c r="H31" s="468"/>
      <c r="I31" s="468"/>
      <c r="J31" s="468"/>
      <c r="K31" s="468">
        <f>+E31</f>
        <v>501624</v>
      </c>
      <c r="L31" s="468"/>
      <c r="M31" s="468"/>
    </row>
    <row r="32" spans="1:13" ht="19.5">
      <c r="A32" s="463">
        <f aca="true" t="shared" si="0" ref="A32:A37">+A31+1</f>
        <v>15</v>
      </c>
      <c r="B32" s="464"/>
      <c r="C32" s="459" t="s">
        <v>170</v>
      </c>
      <c r="D32"/>
      <c r="E32" s="541">
        <f>'KGPCo WS H-1-Detail of Tax Amts'!E38</f>
        <v>214686</v>
      </c>
      <c r="F32" s="459"/>
      <c r="G32" s="541"/>
      <c r="H32" s="541"/>
      <c r="I32" s="541"/>
      <c r="J32" s="541"/>
      <c r="K32" s="468">
        <f>+E32</f>
        <v>214686</v>
      </c>
      <c r="L32" s="541"/>
      <c r="M32" s="468"/>
    </row>
    <row r="33" spans="1:13" ht="19.5">
      <c r="A33" s="463">
        <f>+A32+1</f>
        <v>16</v>
      </c>
      <c r="B33" s="464"/>
      <c r="C33" s="459" t="s">
        <v>171</v>
      </c>
      <c r="D33"/>
      <c r="E33" s="541">
        <f>'KGPCo WS H-1-Detail of Tax Amts'!E43</f>
        <v>1837</v>
      </c>
      <c r="F33" s="459"/>
      <c r="G33" s="468"/>
      <c r="H33" s="468"/>
      <c r="I33" s="468"/>
      <c r="J33" s="468"/>
      <c r="K33" s="468">
        <f>+E33</f>
        <v>1837</v>
      </c>
      <c r="L33" s="468"/>
      <c r="M33" s="468"/>
    </row>
    <row r="34" spans="1:13" ht="19.5">
      <c r="A34" s="463">
        <f t="shared" si="0"/>
        <v>17</v>
      </c>
      <c r="B34" s="464"/>
      <c r="C34" s="459" t="s">
        <v>172</v>
      </c>
      <c r="D34" s="464"/>
      <c r="E34" s="541">
        <f>'KGPCo WS H-1-Detail of Tax Amts'!E48</f>
        <v>0</v>
      </c>
      <c r="F34" s="459"/>
      <c r="G34" s="468"/>
      <c r="H34" s="468"/>
      <c r="I34" s="468"/>
      <c r="J34" s="468"/>
      <c r="K34" s="468">
        <f>+E34</f>
        <v>0</v>
      </c>
      <c r="L34" s="468"/>
      <c r="M34" s="468"/>
    </row>
    <row r="35" spans="1:13" ht="19.5">
      <c r="A35" s="463">
        <f t="shared" si="0"/>
        <v>18</v>
      </c>
      <c r="B35" s="464"/>
      <c r="C35" s="459" t="s">
        <v>173</v>
      </c>
      <c r="D35" s="464"/>
      <c r="E35" s="541">
        <f>'KGPCo WS H-1-Detail of Tax Amts'!E50</f>
        <v>1945</v>
      </c>
      <c r="F35" s="474"/>
      <c r="G35" s="468"/>
      <c r="H35" s="468"/>
      <c r="I35" s="468"/>
      <c r="J35" s="468"/>
      <c r="K35" s="468"/>
      <c r="L35" s="468"/>
      <c r="M35" s="468">
        <f>+E35</f>
        <v>1945</v>
      </c>
    </row>
    <row r="36" spans="1:13" ht="19.5">
      <c r="A36" s="463">
        <f t="shared" si="0"/>
        <v>19</v>
      </c>
      <c r="B36" s="459"/>
      <c r="C36" s="459" t="s">
        <v>163</v>
      </c>
      <c r="D36" s="459"/>
      <c r="E36" s="541">
        <f>'KGPCo WS H-1-Detail of Tax Amts'!E53</f>
        <v>0</v>
      </c>
      <c r="F36" s="459"/>
      <c r="G36" s="468"/>
      <c r="H36" s="468"/>
      <c r="I36" s="468"/>
      <c r="J36" s="468"/>
      <c r="K36" s="468"/>
      <c r="L36" s="468"/>
      <c r="M36" s="468">
        <f>+E36</f>
        <v>0</v>
      </c>
    </row>
    <row r="37" spans="1:13" ht="19.5">
      <c r="A37" s="463">
        <f t="shared" si="0"/>
        <v>20</v>
      </c>
      <c r="B37" s="459"/>
      <c r="C37" s="485" t="s">
        <v>701</v>
      </c>
      <c r="D37" s="474"/>
      <c r="E37" s="541">
        <f>'KGPCo WS H-1-Detail of Tax Amts'!E55</f>
        <v>0</v>
      </c>
      <c r="F37" s="474"/>
      <c r="G37" s="468"/>
      <c r="H37" s="468"/>
      <c r="I37" s="468"/>
      <c r="J37" s="468"/>
      <c r="K37" s="468"/>
      <c r="L37" s="468"/>
      <c r="M37" s="468">
        <f>+E37</f>
        <v>0</v>
      </c>
    </row>
    <row r="38" spans="1:13" ht="19.5">
      <c r="A38" s="103"/>
      <c r="B38" s="764"/>
      <c r="C38" s="764"/>
      <c r="D38"/>
      <c r="E38"/>
      <c r="F38" s="459"/>
      <c r="H38" s="477"/>
      <c r="I38" s="480"/>
      <c r="J38" s="480"/>
      <c r="K38" s="482"/>
      <c r="L38" s="483"/>
      <c r="M38" s="483"/>
    </row>
    <row r="39" spans="1:13" ht="20.25" thickBot="1">
      <c r="A39" s="776">
        <f>+A37+1</f>
        <v>21</v>
      </c>
      <c r="B39" s="764"/>
      <c r="C39" s="459" t="s">
        <v>166</v>
      </c>
      <c r="D39"/>
      <c r="E39" s="484">
        <f>SUM(E15:E37)</f>
        <v>5606757</v>
      </c>
      <c r="F39" s="459"/>
      <c r="G39" s="484">
        <f>SUM(G15:G37)</f>
        <v>848729</v>
      </c>
      <c r="H39" s="477"/>
      <c r="I39" s="484">
        <f>SUM(I15:I37)</f>
        <v>123874</v>
      </c>
      <c r="J39" s="480"/>
      <c r="K39" s="484">
        <f>SUM(K15:K37)</f>
        <v>718147</v>
      </c>
      <c r="L39" s="483"/>
      <c r="M39" s="484">
        <f>SUM(M15:M37)</f>
        <v>3916007</v>
      </c>
    </row>
    <row r="40" spans="1:13" ht="20.25" thickTop="1">
      <c r="A40" s="103"/>
      <c r="B40" s="764"/>
      <c r="C40" s="459" t="s">
        <v>263</v>
      </c>
      <c r="D40"/>
      <c r="E40"/>
      <c r="F40" s="459"/>
      <c r="G40" s="477"/>
      <c r="H40" s="477"/>
      <c r="I40" s="480"/>
      <c r="J40" s="481"/>
      <c r="K40" s="483"/>
      <c r="L40" s="483"/>
      <c r="M40" s="483"/>
    </row>
    <row r="41" spans="1:13" ht="19.5">
      <c r="A41" s="103"/>
      <c r="B41" s="764"/>
      <c r="C41" s="474" t="s">
        <v>844</v>
      </c>
      <c r="D41"/>
      <c r="E41"/>
      <c r="F41" s="459"/>
      <c r="G41" s="477"/>
      <c r="H41" s="477"/>
      <c r="I41" s="480"/>
      <c r="J41" s="481"/>
      <c r="K41" s="483"/>
      <c r="L41" s="483"/>
      <c r="M41" s="483"/>
    </row>
    <row r="42" spans="1:13" ht="19.5">
      <c r="A42" s="103"/>
      <c r="B42" s="764"/>
      <c r="C42" s="1131" t="s">
        <v>362</v>
      </c>
      <c r="D42" s="1131"/>
      <c r="E42" s="1131"/>
      <c r="F42" s="1131"/>
      <c r="G42" s="1131"/>
      <c r="H42" s="1131"/>
      <c r="I42" s="1131"/>
      <c r="J42" s="1131"/>
      <c r="K42" s="1131"/>
      <c r="L42" s="1131"/>
      <c r="M42" s="1131"/>
    </row>
    <row r="43" spans="1:13" ht="19.5">
      <c r="A43" s="463"/>
      <c r="C43" s="459"/>
      <c r="D43" s="459"/>
      <c r="E43" s="489" t="s">
        <v>56</v>
      </c>
      <c r="G43" s="489" t="s">
        <v>187</v>
      </c>
      <c r="H43" s="489"/>
      <c r="I43" s="489" t="s">
        <v>321</v>
      </c>
      <c r="J43" s="489"/>
      <c r="K43" s="489" t="s">
        <v>188</v>
      </c>
      <c r="L43" s="489"/>
      <c r="M43" s="489" t="s">
        <v>713</v>
      </c>
    </row>
    <row r="44" spans="1:13" ht="19.5">
      <c r="A44" s="537">
        <f>+A39+1</f>
        <v>22</v>
      </c>
      <c r="B44" s="538"/>
      <c r="C44" s="846" t="str">
        <f>"Functionalized Net Plant (Hist. TCOS, Lns "&amp;'KGPCo Historic TCOS'!B90&amp;" thru "&amp;'KGPCo Historic TCOS'!B100&amp;")"</f>
        <v>Functionalized Net Plant (Hist. TCOS, Lns 212 thru 222)</v>
      </c>
      <c r="D44" s="474"/>
      <c r="E44" s="847">
        <f>+'KGPCo Historic TCOS'!G90</f>
        <v>0</v>
      </c>
      <c r="F44" s="846"/>
      <c r="G44" s="847">
        <f>+'KGPCo Historic TCOS'!G91</f>
        <v>10059970</v>
      </c>
      <c r="H44" s="846"/>
      <c r="I44" s="847">
        <f>+'KGPCo Historic TCOS'!G97</f>
        <v>67529559</v>
      </c>
      <c r="J44" s="846"/>
      <c r="K44" s="848">
        <f>+'KGPCo Historic TCOS'!G98</f>
        <v>1790399</v>
      </c>
      <c r="L44" s="474"/>
      <c r="M44" s="539">
        <f>SUM(E44:K44)</f>
        <v>79379928</v>
      </c>
    </row>
    <row r="45" spans="1:13" ht="19.5">
      <c r="A45" s="537"/>
      <c r="B45" s="538"/>
      <c r="C45" s="678" t="s">
        <v>366</v>
      </c>
      <c r="D45" s="474"/>
      <c r="E45" s="539"/>
      <c r="F45" s="474"/>
      <c r="G45" s="679"/>
      <c r="H45" s="474"/>
      <c r="I45" s="539"/>
      <c r="J45" s="474"/>
      <c r="K45" s="540"/>
      <c r="L45" s="474"/>
      <c r="M45" s="691"/>
    </row>
    <row r="46" spans="1:13" ht="19.5">
      <c r="A46" s="537">
        <f>+A44+1</f>
        <v>23</v>
      </c>
      <c r="B46" s="538"/>
      <c r="C46" s="474" t="str">
        <f>"Percentage of Plant in "&amp;C45&amp;""</f>
        <v>Percentage of Plant in TENNESSEE JURISDICTION</v>
      </c>
      <c r="D46" s="474"/>
      <c r="E46" s="913"/>
      <c r="F46" s="682"/>
      <c r="G46" s="913">
        <v>1</v>
      </c>
      <c r="H46" s="682"/>
      <c r="I46" s="913">
        <v>1</v>
      </c>
      <c r="J46" s="679"/>
      <c r="K46" s="913">
        <v>1</v>
      </c>
      <c r="L46" s="474"/>
      <c r="M46" s="691"/>
    </row>
    <row r="47" spans="1:15" ht="19.5">
      <c r="A47" s="537">
        <f aca="true" t="shared" si="1" ref="A47:A53">+A46+1</f>
        <v>24</v>
      </c>
      <c r="B47" s="538"/>
      <c r="C47" s="846" t="str">
        <f>"Net Plant in "&amp;C45&amp;" (Ln "&amp;A44&amp;" * Ln "&amp;A46&amp;")"</f>
        <v>Net Plant in TENNESSEE JURISDICTION (Ln 22 * Ln 23)</v>
      </c>
      <c r="D47" s="474"/>
      <c r="E47" s="539">
        <f>+E44*E46</f>
        <v>0</v>
      </c>
      <c r="F47" s="474"/>
      <c r="G47" s="539">
        <f>+G44*G46</f>
        <v>10059970</v>
      </c>
      <c r="H47" s="474"/>
      <c r="I47" s="539">
        <f>+I44*I46</f>
        <v>67529559</v>
      </c>
      <c r="J47" s="474"/>
      <c r="K47" s="539">
        <f>+K44*K46</f>
        <v>1790399</v>
      </c>
      <c r="L47" s="474"/>
      <c r="M47" s="539">
        <f>SUM(E47:K47)</f>
        <v>79379928</v>
      </c>
      <c r="O47"/>
    </row>
    <row r="48" spans="1:15" ht="19.5">
      <c r="A48" s="537">
        <f t="shared" si="1"/>
        <v>25</v>
      </c>
      <c r="B48" s="538"/>
      <c r="C48" s="846" t="s">
        <v>35</v>
      </c>
      <c r="D48" s="474"/>
      <c r="E48" s="895">
        <v>0</v>
      </c>
      <c r="F48" s="474"/>
      <c r="G48" s="676"/>
      <c r="H48" s="474"/>
      <c r="I48" s="676"/>
      <c r="J48" s="474"/>
      <c r="K48" s="677"/>
      <c r="L48" s="474"/>
      <c r="M48" s="539"/>
      <c r="O48"/>
    </row>
    <row r="49" spans="1:15" ht="19.5">
      <c r="A49" s="537">
        <f t="shared" si="1"/>
        <v>26</v>
      </c>
      <c r="B49" s="538"/>
      <c r="C49" s="474" t="str">
        <f>"Taxable Property Basis (Ln "&amp;A47&amp;" - Ln "&amp;A48&amp;")"</f>
        <v>Taxable Property Basis (Ln 24 - Ln 25)</v>
      </c>
      <c r="D49" s="474"/>
      <c r="E49" s="539">
        <f>+E47-E48</f>
        <v>0</v>
      </c>
      <c r="F49" s="474"/>
      <c r="G49" s="539">
        <f>+G47-G48</f>
        <v>10059970</v>
      </c>
      <c r="H49" s="474"/>
      <c r="I49" s="539">
        <f>+I47-I48</f>
        <v>67529559</v>
      </c>
      <c r="J49" s="474"/>
      <c r="K49" s="539">
        <f>+K47-K48</f>
        <v>1790399</v>
      </c>
      <c r="L49" s="474"/>
      <c r="M49" s="539">
        <f>SUM(E49:K49)</f>
        <v>79379928</v>
      </c>
      <c r="O49"/>
    </row>
    <row r="50" spans="1:15" ht="19.5">
      <c r="A50" s="537">
        <f t="shared" si="1"/>
        <v>27</v>
      </c>
      <c r="B50" s="538"/>
      <c r="C50" s="541" t="s">
        <v>361</v>
      </c>
      <c r="D50" s="474"/>
      <c r="E50" s="673"/>
      <c r="F50" s="674"/>
      <c r="G50" s="673">
        <v>1</v>
      </c>
      <c r="H50" s="674"/>
      <c r="I50" s="673">
        <v>1</v>
      </c>
      <c r="J50" s="675"/>
      <c r="K50" s="673">
        <v>1</v>
      </c>
      <c r="L50" s="474"/>
      <c r="M50" s="639">
        <f>SUM(E50:K50)</f>
        <v>3</v>
      </c>
      <c r="O50"/>
    </row>
    <row r="51" spans="1:21" ht="19.5">
      <c r="A51" s="537">
        <f t="shared" si="1"/>
        <v>28</v>
      </c>
      <c r="B51" s="538"/>
      <c r="C51" s="846" t="str">
        <f>"Weighted Net Plant (Ln "&amp;A49&amp;" * Ln "&amp;A50&amp;")"</f>
        <v>Weighted Net Plant (Ln 26 * Ln 27)</v>
      </c>
      <c r="D51" s="474"/>
      <c r="E51" s="539">
        <f>+E49*E50</f>
        <v>0</v>
      </c>
      <c r="F51" s="474"/>
      <c r="G51" s="539">
        <f>+G49*G50</f>
        <v>10059970</v>
      </c>
      <c r="H51" s="474"/>
      <c r="I51" s="539">
        <f>+I49*I50</f>
        <v>67529559</v>
      </c>
      <c r="J51" s="474"/>
      <c r="K51" s="539">
        <f>+K49*K50</f>
        <v>1790399</v>
      </c>
      <c r="L51" s="474"/>
      <c r="M51" s="539"/>
      <c r="O51"/>
      <c r="P51"/>
      <c r="Q51"/>
      <c r="R51"/>
      <c r="S51"/>
      <c r="T51"/>
      <c r="U51"/>
    </row>
    <row r="52" spans="1:21" ht="19.5">
      <c r="A52" s="537">
        <f t="shared" si="1"/>
        <v>29</v>
      </c>
      <c r="B52" s="538"/>
      <c r="C52" s="474" t="str">
        <f>+"General Plant Allocator (Ln "&amp;A51&amp;" / (Total - General Plant))"</f>
        <v>General Plant Allocator (Ln 28 / (Total - General Plant))</v>
      </c>
      <c r="D52" s="474"/>
      <c r="E52" s="542">
        <f>IF(E50=0,0,+E51/($E51+$G51+$I51))</f>
        <v>0</v>
      </c>
      <c r="F52" s="474"/>
      <c r="G52" s="542">
        <f>IF(G50=0,0,+G51/($E51+$G51+$I51))</f>
        <v>0.12965628390397885</v>
      </c>
      <c r="H52" s="474"/>
      <c r="I52" s="542">
        <f>IF(I50=0,0,+I51/($E51+$G51+$I51))</f>
        <v>0.8703437160960211</v>
      </c>
      <c r="J52" s="474"/>
      <c r="K52" s="542">
        <v>-1</v>
      </c>
      <c r="L52" s="474"/>
      <c r="M52" s="474"/>
      <c r="O52"/>
      <c r="P52"/>
      <c r="Q52"/>
      <c r="R52"/>
      <c r="S52"/>
      <c r="T52"/>
      <c r="U52"/>
    </row>
    <row r="53" spans="1:21" ht="19.5">
      <c r="A53" s="537">
        <f t="shared" si="1"/>
        <v>30</v>
      </c>
      <c r="B53" s="538"/>
      <c r="C53" s="474" t="str">
        <f>"Functionalized General Plant (Ln "&amp;A52&amp;" * General Plant)"</f>
        <v>Functionalized General Plant (Ln 29 * General Plant)</v>
      </c>
      <c r="D53" s="474"/>
      <c r="E53" s="543">
        <f>ROUND($K51*E52,0)</f>
        <v>0</v>
      </c>
      <c r="F53" s="474"/>
      <c r="G53" s="543">
        <f>+G52*K51</f>
        <v>232136.48104539982</v>
      </c>
      <c r="H53" s="474"/>
      <c r="I53" s="543">
        <f>ROUND($K51*I52,0)</f>
        <v>1558263</v>
      </c>
      <c r="J53" s="474"/>
      <c r="K53" s="543">
        <f>ROUND($K51*K52,0)</f>
        <v>-1790399</v>
      </c>
      <c r="L53" s="474"/>
      <c r="M53" s="539">
        <f>IF(SUM(E53:K53)&lt;&gt;0,0,0)</f>
        <v>0</v>
      </c>
      <c r="O53"/>
      <c r="P53"/>
      <c r="Q53"/>
      <c r="R53"/>
      <c r="S53"/>
      <c r="T53"/>
      <c r="U53"/>
    </row>
    <row r="54" spans="1:15" ht="19.5">
      <c r="A54" s="537">
        <f>+A53+1</f>
        <v>31</v>
      </c>
      <c r="B54" s="538"/>
      <c r="C54" s="474" t="str">
        <f>"Weighted "&amp;C45&amp;" Plant (Ln "&amp;A51&amp;" + "&amp;A53&amp;")"</f>
        <v>Weighted TENNESSEE JURISDICTION Plant (Ln 28 + 30)</v>
      </c>
      <c r="D54" s="474"/>
      <c r="E54" s="539">
        <f>+E51+E53</f>
        <v>0</v>
      </c>
      <c r="F54" s="474"/>
      <c r="G54" s="540">
        <f>+G51+G53</f>
        <v>10292106.4810454</v>
      </c>
      <c r="H54" s="474"/>
      <c r="I54" s="539">
        <f>+I51+I53</f>
        <v>69087822</v>
      </c>
      <c r="J54" s="474"/>
      <c r="K54" s="539">
        <f>+K51+K53</f>
        <v>0</v>
      </c>
      <c r="L54" s="474"/>
      <c r="M54" s="539">
        <f>SUM(E54:K54)-SUM(E53:K53)</f>
        <v>79379928</v>
      </c>
      <c r="O54"/>
    </row>
    <row r="55" spans="1:15" ht="20.25" thickBot="1">
      <c r="A55" s="537">
        <f>+A54+1</f>
        <v>32</v>
      </c>
      <c r="B55" s="538"/>
      <c r="C55" s="474" t="str">
        <f>"Functional Percentage (Ln "&amp;A54&amp;"/Total Ln "&amp;A54&amp;")"</f>
        <v>Functional Percentage (Ln 31/Total Ln 31)</v>
      </c>
      <c r="D55" s="474"/>
      <c r="E55" s="679">
        <f>+E54/M54</f>
        <v>0</v>
      </c>
      <c r="F55" s="474"/>
      <c r="G55" s="681">
        <f>+G54/M54</f>
        <v>0.12965628390397885</v>
      </c>
      <c r="H55" s="474"/>
      <c r="I55" s="679">
        <f>+I54/M54</f>
        <v>0.8703437221560594</v>
      </c>
      <c r="J55" s="474"/>
      <c r="K55"/>
      <c r="L55" s="474"/>
      <c r="M55" s="539"/>
      <c r="O55"/>
    </row>
    <row r="56" spans="1:15" ht="19.5">
      <c r="A56" s="537">
        <f>+A55+1</f>
        <v>33</v>
      </c>
      <c r="B56" s="538"/>
      <c r="C56" s="474" t="str">
        <f>"Functionalized Expense in "&amp;C45&amp;""</f>
        <v>Functionalized Expense in TENNESSEE JURISDICTION</v>
      </c>
      <c r="D56" s="474"/>
      <c r="E56" s="933">
        <f>+E55*M56</f>
        <v>0</v>
      </c>
      <c r="F56" s="474"/>
      <c r="G56" s="933">
        <f>+G55*M56</f>
        <v>110043.04818154006</v>
      </c>
      <c r="H56" s="474"/>
      <c r="I56" s="933">
        <f>+I55*M56</f>
        <v>738685.9569617901</v>
      </c>
      <c r="J56" s="474"/>
      <c r="K56"/>
      <c r="L56" s="474"/>
      <c r="M56" s="934">
        <f>+G18</f>
        <v>848729</v>
      </c>
      <c r="O56"/>
    </row>
    <row r="57" spans="1:15" ht="20.25" thickBot="1">
      <c r="A57" s="935"/>
      <c r="B57" s="936"/>
      <c r="C57" s="937"/>
      <c r="D57" s="938"/>
      <c r="E57" s="540"/>
      <c r="F57" s="938"/>
      <c r="G57" s="540"/>
      <c r="H57" s="938"/>
      <c r="I57" s="540"/>
      <c r="J57" s="938"/>
      <c r="K57" s="540"/>
      <c r="L57" s="938"/>
      <c r="M57" s="540"/>
      <c r="O57"/>
    </row>
    <row r="58" spans="1:15" ht="20.25" thickBot="1">
      <c r="A58" s="537">
        <f>+A56+1</f>
        <v>34</v>
      </c>
      <c r="B58" s="538"/>
      <c r="C58" s="474" t="str">
        <f>"Total Other Jurisdictions: (Line "&amp;A19&amp;" * Net Plant Allocator)"</f>
        <v>Total Other Jurisdictions: (Line 5 * Net Plant Allocator)</v>
      </c>
      <c r="D58" s="474"/>
      <c r="E58" s="672"/>
      <c r="F58" s="474"/>
      <c r="G58" s="672">
        <f>+M58*NP_h</f>
        <v>0</v>
      </c>
      <c r="H58" s="474"/>
      <c r="I58" s="672"/>
      <c r="J58" s="474"/>
      <c r="K58" s="672"/>
      <c r="L58" s="474"/>
      <c r="M58" s="684">
        <f>G19</f>
        <v>0</v>
      </c>
      <c r="O58"/>
    </row>
    <row r="59" spans="1:15" ht="19.5">
      <c r="A59" s="537"/>
      <c r="B59" s="538"/>
      <c r="C59" s="474"/>
      <c r="D59" s="474"/>
      <c r="E59" s="539"/>
      <c r="F59"/>
      <c r="G59" s="540"/>
      <c r="H59"/>
      <c r="I59" s="679"/>
      <c r="J59"/>
      <c r="K59" s="539"/>
      <c r="L59" s="474"/>
      <c r="M59" s="539"/>
      <c r="O59"/>
    </row>
    <row r="60" spans="1:15" ht="20.25" thickBot="1">
      <c r="A60" s="537">
        <f>+A58+1</f>
        <v>35</v>
      </c>
      <c r="B60" s="538"/>
      <c r="C60" s="474" t="str">
        <f>"Total Func. Property Taxes (Sum Lns "&amp;A56&amp;", "&amp;""&amp;A58&amp;")"</f>
        <v>Total Func. Property Taxes (Sum Lns 33, 34)</v>
      </c>
      <c r="D60" s="474"/>
      <c r="E60" s="680">
        <f>+E58+E56</f>
        <v>0</v>
      </c>
      <c r="F60"/>
      <c r="G60" s="680">
        <f>+G58+G56</f>
        <v>110043.04818154006</v>
      </c>
      <c r="H60"/>
      <c r="I60" s="680">
        <f>+I58+I56</f>
        <v>738685.9569617901</v>
      </c>
      <c r="J60"/>
      <c r="K60"/>
      <c r="L60" s="474"/>
      <c r="M60" s="680">
        <f>+M58+M56</f>
        <v>848729</v>
      </c>
      <c r="O60"/>
    </row>
    <row r="61" spans="1:15" ht="20.25" thickTop="1">
      <c r="A61" s="537"/>
      <c r="B61" s="538"/>
      <c r="C61" s="474"/>
      <c r="D61" s="474"/>
      <c r="E61" s="541"/>
      <c r="F61" s="541"/>
      <c r="G61" s="541"/>
      <c r="H61" s="541"/>
      <c r="I61" s="541"/>
      <c r="J61" s="474"/>
      <c r="K61" s="672"/>
      <c r="L61" s="474"/>
      <c r="M61" s="541"/>
      <c r="O61"/>
    </row>
    <row r="62" ht="12.75">
      <c r="O62"/>
    </row>
    <row r="63" ht="12.75">
      <c r="O63"/>
    </row>
    <row r="64" spans="7:15" ht="12.75">
      <c r="G64" s="690"/>
      <c r="O64"/>
    </row>
    <row r="205" ht="15.75" thickBot="1"/>
    <row r="206" ht="20.25" thickBot="1">
      <c r="G206" s="544" t="e">
        <f>IF(#REF!&lt;&gt;0,+#REF!/#REF!*#REF!,0)</f>
        <v>#REF!</v>
      </c>
    </row>
  </sheetData>
  <sheetProtection/>
  <mergeCells count="7">
    <mergeCell ref="A6:M6"/>
    <mergeCell ref="A5:M5"/>
    <mergeCell ref="C42:M42"/>
    <mergeCell ref="A1:M1"/>
    <mergeCell ref="A2:M2"/>
    <mergeCell ref="A3:M3"/>
    <mergeCell ref="A4:M4"/>
  </mergeCells>
  <printOptions/>
  <pageMargins left="0.3" right="0.5" top="1" bottom="1" header="0.75" footer="0.5"/>
  <pageSetup fitToHeight="1" fitToWidth="1" horizontalDpi="600" verticalDpi="600" orientation="portrait" scale="48"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M81"/>
  <sheetViews>
    <sheetView zoomScale="75" zoomScaleNormal="75" zoomScalePageLayoutView="0" workbookViewId="0" topLeftCell="A1">
      <selection activeCell="A1" sqref="A1"/>
    </sheetView>
  </sheetViews>
  <sheetFormatPr defaultColWidth="9.140625" defaultRowHeight="12.75"/>
  <cols>
    <col min="1" max="1" width="7.28125" style="475" customWidth="1"/>
    <col min="2" max="2" width="1.7109375" style="476" customWidth="1"/>
    <col min="3" max="3" width="62.421875" style="476" customWidth="1"/>
    <col min="4" max="4" width="2.8515625" style="476" customWidth="1"/>
    <col min="5" max="5" width="20.421875" style="470" customWidth="1"/>
    <col min="6" max="6" width="20.421875" style="461" bestFit="1" customWidth="1"/>
    <col min="7" max="7" width="35.7109375" style="461" bestFit="1" customWidth="1"/>
    <col min="8" max="16384" width="9.140625" style="461" customWidth="1"/>
  </cols>
  <sheetData>
    <row r="1" spans="1:6" ht="18.75" customHeight="1">
      <c r="A1" s="1116" t="s">
        <v>282</v>
      </c>
      <c r="B1" s="1116"/>
      <c r="C1" s="1116"/>
      <c r="D1" s="1116"/>
      <c r="E1" s="1116"/>
      <c r="F1" s="1116"/>
    </row>
    <row r="2" spans="1:13" ht="18.75" customHeight="1">
      <c r="A2" s="1140" t="str">
        <f>"Cost of Service Formula Rate Using "&amp;'KGPCo Historic TCOS'!O1&amp;" FF1 Balances"</f>
        <v>Cost of Service Formula Rate Using 2011 FF1 Balances</v>
      </c>
      <c r="B2" s="1140"/>
      <c r="C2" s="1140"/>
      <c r="D2" s="1140"/>
      <c r="E2" s="1140"/>
      <c r="F2" s="1140"/>
      <c r="G2" s="291"/>
      <c r="H2" s="291"/>
      <c r="I2" s="291"/>
      <c r="J2" s="291"/>
      <c r="K2" s="291"/>
      <c r="L2" s="291"/>
      <c r="M2" s="291"/>
    </row>
    <row r="3" spans="1:6" ht="18.75" customHeight="1">
      <c r="A3" s="1140" t="s">
        <v>111</v>
      </c>
      <c r="B3" s="1140"/>
      <c r="C3" s="1140"/>
      <c r="D3" s="1140"/>
      <c r="E3" s="1140"/>
      <c r="F3" s="1140"/>
    </row>
    <row r="4" spans="1:6" ht="18" customHeight="1">
      <c r="A4" s="1117" t="s">
        <v>36</v>
      </c>
      <c r="B4" s="1117"/>
      <c r="C4" s="1117"/>
      <c r="D4" s="1117"/>
      <c r="E4" s="1117"/>
      <c r="F4" s="1117"/>
    </row>
    <row r="5" spans="1:6" ht="18" customHeight="1">
      <c r="A5" s="1115"/>
      <c r="B5" s="1115"/>
      <c r="C5" s="1115"/>
      <c r="D5" s="1115"/>
      <c r="E5" s="1115"/>
      <c r="F5" s="1115"/>
    </row>
    <row r="6" spans="1:7" ht="19.5" customHeight="1">
      <c r="A6" s="463"/>
      <c r="B6" s="464"/>
      <c r="C6" s="991" t="s">
        <v>757</v>
      </c>
      <c r="E6" s="991" t="s">
        <v>758</v>
      </c>
      <c r="F6" s="991" t="s">
        <v>759</v>
      </c>
      <c r="G6" s="991" t="s">
        <v>760</v>
      </c>
    </row>
    <row r="7" spans="1:13" ht="18">
      <c r="A7" s="631"/>
      <c r="B7" s="632"/>
      <c r="C7" s="632"/>
      <c r="D7" s="632"/>
      <c r="E7" s="992"/>
      <c r="F7" s="992"/>
      <c r="G7" s="990"/>
      <c r="H7" s="990"/>
      <c r="I7" s="990"/>
      <c r="J7" s="990"/>
      <c r="K7" s="990"/>
      <c r="L7" s="990"/>
      <c r="M7" s="990"/>
    </row>
    <row r="8" spans="1:6" ht="18">
      <c r="A8" s="631" t="s">
        <v>764</v>
      </c>
      <c r="B8" s="632"/>
      <c r="C8" s="632"/>
      <c r="D8" s="632"/>
      <c r="E8" s="633" t="s">
        <v>713</v>
      </c>
      <c r="F8" s="631" t="s">
        <v>829</v>
      </c>
    </row>
    <row r="9" spans="1:7" ht="18">
      <c r="A9" s="635" t="s">
        <v>712</v>
      </c>
      <c r="B9" s="993"/>
      <c r="C9" s="1040" t="s">
        <v>60</v>
      </c>
      <c r="D9" s="993"/>
      <c r="E9" s="636" t="s">
        <v>855</v>
      </c>
      <c r="F9" s="635" t="s">
        <v>830</v>
      </c>
      <c r="G9" s="636" t="s">
        <v>831</v>
      </c>
    </row>
    <row r="10" spans="1:6" ht="18">
      <c r="A10" s="465"/>
      <c r="B10" s="464"/>
      <c r="C10" s="460"/>
      <c r="D10" s="460"/>
      <c r="E10" s="460"/>
      <c r="F10" s="460"/>
    </row>
    <row r="11" spans="1:6" ht="18">
      <c r="A11" s="463"/>
      <c r="B11" s="464"/>
      <c r="C11" s="464"/>
      <c r="D11" s="464"/>
      <c r="E11" s="466"/>
      <c r="F11" s="462"/>
    </row>
    <row r="12" spans="1:6" ht="19.5">
      <c r="A12" s="463">
        <v>1</v>
      </c>
      <c r="B12" s="464"/>
      <c r="C12" s="467" t="s">
        <v>176</v>
      </c>
      <c r="D12" s="464"/>
      <c r="E12" s="459"/>
      <c r="F12" s="459"/>
    </row>
    <row r="13" spans="1:6" ht="19.5">
      <c r="A13" s="463">
        <f>+A12+1</f>
        <v>2</v>
      </c>
      <c r="B13" s="464"/>
      <c r="C13" s="459" t="s">
        <v>832</v>
      </c>
      <c r="D13" s="464"/>
      <c r="E13" s="1003">
        <f>SUM(F14:F15)</f>
        <v>3914062</v>
      </c>
      <c r="F13" s="459"/>
    </row>
    <row r="14" spans="1:7" ht="19.5">
      <c r="A14" s="463"/>
      <c r="B14" s="464"/>
      <c r="C14" s="994"/>
      <c r="D14" s="464"/>
      <c r="E14" s="1016"/>
      <c r="F14" s="844">
        <v>1857798</v>
      </c>
      <c r="G14" s="1113" t="s">
        <v>834</v>
      </c>
    </row>
    <row r="15" spans="1:7" ht="19.5">
      <c r="A15" s="463"/>
      <c r="B15" s="464"/>
      <c r="D15" s="464"/>
      <c r="E15" s="1016"/>
      <c r="F15" s="844">
        <v>2056264</v>
      </c>
      <c r="G15" s="1113" t="s">
        <v>833</v>
      </c>
    </row>
    <row r="16" spans="1:7" ht="19.5">
      <c r="A16" s="463"/>
      <c r="B16" s="464"/>
      <c r="C16" s="469"/>
      <c r="D16" s="464"/>
      <c r="E16" s="938"/>
      <c r="F16" s="468"/>
      <c r="G16" s="459"/>
    </row>
    <row r="17" spans="1:7" ht="19.5">
      <c r="A17" s="463">
        <f>+A13+1</f>
        <v>3</v>
      </c>
      <c r="B17" s="464"/>
      <c r="C17" s="467" t="s">
        <v>177</v>
      </c>
      <c r="D17" s="464"/>
      <c r="E17" s="938"/>
      <c r="F17" s="459"/>
      <c r="G17" s="459"/>
    </row>
    <row r="18" spans="1:7" ht="19.5">
      <c r="A18" s="463">
        <f>+A17+1</f>
        <v>4</v>
      </c>
      <c r="B18" s="464"/>
      <c r="C18" s="462" t="s">
        <v>365</v>
      </c>
      <c r="D18" s="462"/>
      <c r="E18" s="1003">
        <f>SUM(F19:F20)</f>
        <v>848729</v>
      </c>
      <c r="F18" s="462"/>
      <c r="G18" s="459"/>
    </row>
    <row r="19" spans="5:7" ht="19.5">
      <c r="E19" s="1016"/>
      <c r="F19" s="932">
        <v>-182151</v>
      </c>
      <c r="G19" s="1113" t="s">
        <v>869</v>
      </c>
    </row>
    <row r="20" spans="5:7" ht="19.5">
      <c r="E20" s="1016"/>
      <c r="F20" s="932">
        <v>1030880</v>
      </c>
      <c r="G20" s="1113" t="s">
        <v>835</v>
      </c>
    </row>
    <row r="21" spans="1:5" ht="19.5">
      <c r="A21" s="463">
        <f>+A18+1</f>
        <v>5</v>
      </c>
      <c r="B21" s="464"/>
      <c r="C21" s="462" t="s">
        <v>10</v>
      </c>
      <c r="D21" s="462"/>
      <c r="E21" s="1003">
        <f>SUM(F22)</f>
        <v>0</v>
      </c>
    </row>
    <row r="22" spans="1:7" ht="19.5">
      <c r="A22" s="463"/>
      <c r="B22" s="464"/>
      <c r="C22" s="462"/>
      <c r="D22" s="699"/>
      <c r="E22" s="1004"/>
      <c r="F22" s="844">
        <v>0</v>
      </c>
      <c r="G22" s="459"/>
    </row>
    <row r="23" spans="1:7" ht="19.5">
      <c r="A23" s="463">
        <f>+A21+1</f>
        <v>6</v>
      </c>
      <c r="B23" s="464"/>
      <c r="C23" s="467" t="s">
        <v>178</v>
      </c>
      <c r="D23" s="464"/>
      <c r="E23" s="938"/>
      <c r="F23" s="459"/>
      <c r="G23" s="459"/>
    </row>
    <row r="24" spans="1:7" ht="19.5">
      <c r="A24" s="463">
        <f>+A23+1</f>
        <v>7</v>
      </c>
      <c r="B24" s="464"/>
      <c r="C24" s="462" t="s">
        <v>174</v>
      </c>
      <c r="D24" s="464"/>
      <c r="E24" s="1003">
        <f>SUM(F25)</f>
        <v>123519</v>
      </c>
      <c r="F24" s="459"/>
      <c r="G24" s="459"/>
    </row>
    <row r="25" spans="1:7" ht="19.5">
      <c r="A25" s="463"/>
      <c r="B25" s="464"/>
      <c r="C25" s="462"/>
      <c r="D25" s="464"/>
      <c r="E25" s="1003"/>
      <c r="F25" s="844">
        <f>271710-148191</f>
        <v>123519</v>
      </c>
      <c r="G25" s="1113" t="s">
        <v>836</v>
      </c>
    </row>
    <row r="26" spans="1:7" ht="19.5">
      <c r="A26" s="463">
        <f>+A24+1</f>
        <v>8</v>
      </c>
      <c r="B26" s="464"/>
      <c r="C26" s="462" t="s">
        <v>167</v>
      </c>
      <c r="D26" s="464"/>
      <c r="E26" s="1003">
        <f>SUM(F27)</f>
        <v>532</v>
      </c>
      <c r="F26" s="459"/>
      <c r="G26" s="459"/>
    </row>
    <row r="27" spans="1:7" ht="19.5">
      <c r="A27" s="463"/>
      <c r="B27" s="464"/>
      <c r="C27" s="462"/>
      <c r="D27" s="464"/>
      <c r="E27" s="1003"/>
      <c r="F27" s="844">
        <f>2293-1761</f>
        <v>532</v>
      </c>
      <c r="G27" s="1113" t="s">
        <v>837</v>
      </c>
    </row>
    <row r="28" spans="1:7" ht="19.5">
      <c r="A28" s="463">
        <f>+A26+1</f>
        <v>9</v>
      </c>
      <c r="B28" s="464"/>
      <c r="C28" s="462" t="s">
        <v>168</v>
      </c>
      <c r="D28" s="464"/>
      <c r="E28" s="1003">
        <f>SUM(F29)</f>
        <v>-177</v>
      </c>
      <c r="F28" s="459"/>
      <c r="G28" s="459"/>
    </row>
    <row r="29" spans="1:7" ht="19.5">
      <c r="A29" s="463" t="s">
        <v>709</v>
      </c>
      <c r="B29" s="464"/>
      <c r="C29" s="459"/>
      <c r="D29" s="464"/>
      <c r="E29" s="938"/>
      <c r="F29" s="844">
        <f>5954-6131</f>
        <v>-177</v>
      </c>
      <c r="G29" s="1113" t="s">
        <v>838</v>
      </c>
    </row>
    <row r="30" spans="1:7" ht="19.5">
      <c r="A30" s="463">
        <f>A28+1</f>
        <v>10</v>
      </c>
      <c r="B30" s="464"/>
      <c r="C30" s="467" t="s">
        <v>323</v>
      </c>
      <c r="D30" s="464"/>
      <c r="E30" s="938"/>
      <c r="F30" s="459"/>
      <c r="G30" s="459"/>
    </row>
    <row r="31" spans="1:7" ht="19.5">
      <c r="A31" s="463">
        <f>A30+1</f>
        <v>11</v>
      </c>
      <c r="B31" s="464"/>
      <c r="C31" s="474" t="s">
        <v>324</v>
      </c>
      <c r="D31" s="699"/>
      <c r="E31" s="1003">
        <f>SUM(F32)</f>
        <v>0</v>
      </c>
      <c r="F31" s="474"/>
      <c r="G31" s="459"/>
    </row>
    <row r="32" spans="1:7" ht="19.5">
      <c r="A32" s="463"/>
      <c r="B32" s="464"/>
      <c r="C32" s="459"/>
      <c r="D32" s="464"/>
      <c r="E32" s="938"/>
      <c r="F32" s="844">
        <v>0</v>
      </c>
      <c r="G32" s="459"/>
    </row>
    <row r="33" spans="1:7" ht="19.5">
      <c r="A33" s="995">
        <f>+A31+1</f>
        <v>12</v>
      </c>
      <c r="B33" s="996"/>
      <c r="C33" s="467" t="s">
        <v>175</v>
      </c>
      <c r="D33" s="997"/>
      <c r="E33" s="938"/>
      <c r="F33" s="459"/>
      <c r="G33" s="459"/>
    </row>
    <row r="34" spans="1:7" ht="19.5">
      <c r="A34" s="995">
        <f>A33+1</f>
        <v>13</v>
      </c>
      <c r="B34" s="996"/>
      <c r="C34" s="459" t="s">
        <v>322</v>
      </c>
      <c r="D34" s="997"/>
      <c r="E34" s="1003">
        <f>SUM(F35)</f>
        <v>0</v>
      </c>
      <c r="F34" s="474"/>
      <c r="G34" s="459"/>
    </row>
    <row r="35" spans="1:7" ht="19.5">
      <c r="A35" s="995"/>
      <c r="B35" s="996"/>
      <c r="C35" s="459"/>
      <c r="D35" s="997"/>
      <c r="E35" s="1003"/>
      <c r="F35" s="844">
        <v>0</v>
      </c>
      <c r="G35" s="459"/>
    </row>
    <row r="36" spans="1:7" ht="19.5">
      <c r="A36" s="463">
        <f>A34+1</f>
        <v>14</v>
      </c>
      <c r="B36" s="464"/>
      <c r="C36" s="459" t="s">
        <v>169</v>
      </c>
      <c r="D36" s="464"/>
      <c r="E36" s="1003">
        <f>SUM(F37)</f>
        <v>501624</v>
      </c>
      <c r="F36" s="459"/>
      <c r="G36" s="459"/>
    </row>
    <row r="37" spans="1:7" ht="19.5">
      <c r="A37" s="463"/>
      <c r="B37" s="464"/>
      <c r="C37" s="459"/>
      <c r="D37" s="464"/>
      <c r="E37" s="541"/>
      <c r="F37" s="845">
        <v>501624</v>
      </c>
      <c r="G37" s="1113" t="s">
        <v>839</v>
      </c>
    </row>
    <row r="38" spans="1:7" ht="19.5">
      <c r="A38" s="463">
        <f>+A36+1</f>
        <v>15</v>
      </c>
      <c r="B38" s="464"/>
      <c r="C38" s="459" t="s">
        <v>170</v>
      </c>
      <c r="D38" s="992"/>
      <c r="E38" s="1003">
        <f>SUM(F39:F41)</f>
        <v>214686</v>
      </c>
      <c r="F38" s="459"/>
      <c r="G38" s="459"/>
    </row>
    <row r="39" spans="1:7" ht="19.5">
      <c r="A39" s="463"/>
      <c r="B39" s="464"/>
      <c r="C39" s="459"/>
      <c r="D39" s="992"/>
      <c r="E39" s="541"/>
      <c r="F39" s="845">
        <f>6686</f>
        <v>6686</v>
      </c>
      <c r="G39" s="1113" t="s">
        <v>840</v>
      </c>
    </row>
    <row r="40" spans="1:7" ht="19.5">
      <c r="A40" s="463"/>
      <c r="B40" s="464"/>
      <c r="C40" s="459"/>
      <c r="D40" s="992"/>
      <c r="E40" s="541"/>
      <c r="F40" s="845">
        <v>208000</v>
      </c>
      <c r="G40" s="1113" t="s">
        <v>883</v>
      </c>
    </row>
    <row r="41" spans="1:7" ht="19.5">
      <c r="A41" s="463"/>
      <c r="B41" s="464"/>
      <c r="C41" s="459"/>
      <c r="D41" s="992"/>
      <c r="E41" s="541"/>
      <c r="F41" s="845"/>
      <c r="G41" s="1113"/>
    </row>
    <row r="42" spans="1:7" ht="19.5">
      <c r="A42" s="463"/>
      <c r="B42" s="464"/>
      <c r="C42" s="459"/>
      <c r="D42" s="992"/>
      <c r="E42" s="541"/>
      <c r="F42" s="459"/>
      <c r="G42" s="459"/>
    </row>
    <row r="43" spans="1:7" ht="19.5">
      <c r="A43" s="463">
        <f>+A38+1</f>
        <v>16</v>
      </c>
      <c r="B43" s="464"/>
      <c r="C43" s="459" t="s">
        <v>171</v>
      </c>
      <c r="D43" s="992"/>
      <c r="E43" s="1003">
        <f>SUM(F44:F46)</f>
        <v>1837</v>
      </c>
      <c r="F43" s="459"/>
      <c r="G43" s="459"/>
    </row>
    <row r="44" spans="1:7" ht="19.5">
      <c r="A44" s="463"/>
      <c r="B44" s="464"/>
      <c r="C44" s="459"/>
      <c r="D44" s="992"/>
      <c r="E44" s="541"/>
      <c r="F44" s="845">
        <v>1800</v>
      </c>
      <c r="G44" s="1113" t="s">
        <v>841</v>
      </c>
    </row>
    <row r="45" spans="1:7" ht="19.5">
      <c r="A45" s="463"/>
      <c r="B45" s="464"/>
      <c r="C45" s="459"/>
      <c r="D45" s="992"/>
      <c r="E45" s="541"/>
      <c r="F45" s="845">
        <v>22</v>
      </c>
      <c r="G45" s="1113" t="s">
        <v>32</v>
      </c>
    </row>
    <row r="46" spans="1:7" ht="19.5">
      <c r="A46" s="463"/>
      <c r="B46" s="464"/>
      <c r="C46" s="459"/>
      <c r="D46" s="992"/>
      <c r="E46" s="541"/>
      <c r="F46" s="845">
        <v>15</v>
      </c>
      <c r="G46" s="1113" t="s">
        <v>884</v>
      </c>
    </row>
    <row r="47" spans="1:7" ht="19.5">
      <c r="A47" s="463"/>
      <c r="B47" s="464"/>
      <c r="C47" s="459"/>
      <c r="D47" s="992"/>
      <c r="E47" s="541"/>
      <c r="F47" s="459"/>
      <c r="G47" s="459"/>
    </row>
    <row r="48" spans="1:7" ht="19.5">
      <c r="A48" s="463">
        <f>+A43+1</f>
        <v>17</v>
      </c>
      <c r="B48" s="464"/>
      <c r="C48" s="459" t="s">
        <v>172</v>
      </c>
      <c r="D48" s="464"/>
      <c r="E48" s="1003">
        <f>SUM(F49)</f>
        <v>0</v>
      </c>
      <c r="F48" s="459"/>
      <c r="G48" s="459"/>
    </row>
    <row r="49" spans="1:7" ht="19.5">
      <c r="A49" s="463"/>
      <c r="B49" s="464"/>
      <c r="C49" s="459"/>
      <c r="D49" s="464"/>
      <c r="E49" s="541"/>
      <c r="F49" s="844">
        <v>0</v>
      </c>
      <c r="G49" s="459"/>
    </row>
    <row r="50" spans="1:7" ht="19.5">
      <c r="A50" s="463">
        <f>+A48+1</f>
        <v>18</v>
      </c>
      <c r="B50" s="464"/>
      <c r="C50" s="459" t="s">
        <v>173</v>
      </c>
      <c r="D50" s="464"/>
      <c r="E50" s="1003">
        <f>SUM(F51:F52)</f>
        <v>1945</v>
      </c>
      <c r="F50" s="474"/>
      <c r="G50" s="459"/>
    </row>
    <row r="51" spans="1:7" ht="19.5">
      <c r="A51" s="463"/>
      <c r="B51" s="464"/>
      <c r="C51" s="459"/>
      <c r="D51" s="464"/>
      <c r="E51" s="541"/>
      <c r="F51" s="845">
        <v>350</v>
      </c>
      <c r="G51" s="1113" t="s">
        <v>842</v>
      </c>
    </row>
    <row r="52" spans="1:7" ht="19.5">
      <c r="A52" s="463"/>
      <c r="B52" s="464"/>
      <c r="C52" s="459"/>
      <c r="D52" s="464"/>
      <c r="E52" s="541"/>
      <c r="F52" s="845">
        <v>1595</v>
      </c>
      <c r="G52" s="1113" t="s">
        <v>843</v>
      </c>
    </row>
    <row r="53" spans="1:6" ht="19.5">
      <c r="A53" s="463">
        <f>+A50+1</f>
        <v>19</v>
      </c>
      <c r="B53" s="459"/>
      <c r="C53" s="459" t="s">
        <v>163</v>
      </c>
      <c r="D53" s="459"/>
      <c r="E53" s="1003">
        <f>SUM(F54)</f>
        <v>0</v>
      </c>
      <c r="F53" s="459"/>
    </row>
    <row r="54" spans="1:6" ht="19.5">
      <c r="A54" s="463"/>
      <c r="B54" s="459"/>
      <c r="C54" s="459"/>
      <c r="D54" s="459"/>
      <c r="E54" s="1003"/>
      <c r="F54" s="844">
        <v>0</v>
      </c>
    </row>
    <row r="55" spans="1:6" ht="19.5">
      <c r="A55" s="463">
        <f>+A53+1</f>
        <v>20</v>
      </c>
      <c r="B55" s="459"/>
      <c r="C55" s="999" t="s">
        <v>701</v>
      </c>
      <c r="D55" s="474"/>
      <c r="E55" s="1003">
        <f>SUM(F56)</f>
        <v>0</v>
      </c>
      <c r="F55" s="474"/>
    </row>
    <row r="56" spans="1:6" ht="19.5">
      <c r="A56" s="463"/>
      <c r="B56" s="459"/>
      <c r="C56" s="999"/>
      <c r="D56" s="474"/>
      <c r="E56" s="998"/>
      <c r="F56" s="844">
        <v>0</v>
      </c>
    </row>
    <row r="57" spans="1:6" ht="19.5">
      <c r="A57" s="1000"/>
      <c r="B57" s="1000"/>
      <c r="C57" s="1000"/>
      <c r="D57" s="992"/>
      <c r="E57" s="992"/>
      <c r="F57" s="459"/>
    </row>
    <row r="58" spans="1:6" ht="20.25" thickBot="1">
      <c r="A58" s="995">
        <f>+A55+1</f>
        <v>21</v>
      </c>
      <c r="B58" s="1000"/>
      <c r="C58" s="459" t="s">
        <v>166</v>
      </c>
      <c r="D58" s="992"/>
      <c r="E58" s="1001">
        <f>SUM(E13:E56)</f>
        <v>5606757</v>
      </c>
      <c r="F58" s="1002">
        <f>SUM(F14:F56)</f>
        <v>5606757</v>
      </c>
    </row>
    <row r="59" spans="1:6" ht="20.25" thickTop="1">
      <c r="A59" s="1000"/>
      <c r="B59" s="1000"/>
      <c r="C59" s="459" t="s">
        <v>263</v>
      </c>
      <c r="D59" s="992"/>
      <c r="E59" s="992"/>
      <c r="F59" s="459"/>
    </row>
    <row r="60" spans="1:6" ht="19.5">
      <c r="A60" s="1000"/>
      <c r="B60" s="1000"/>
      <c r="C60" s="459"/>
      <c r="D60" s="992"/>
      <c r="E60" s="992"/>
      <c r="F60" s="459"/>
    </row>
    <row r="61" spans="1:7" ht="20.25" customHeight="1">
      <c r="A61" s="1114" t="s">
        <v>259</v>
      </c>
      <c r="B61" s="1114"/>
      <c r="C61" s="1114"/>
      <c r="D61" s="1114"/>
      <c r="E61" s="1114"/>
      <c r="F61" s="1114"/>
      <c r="G61" s="1114"/>
    </row>
    <row r="62" spans="1:7" ht="20.25" customHeight="1">
      <c r="A62" s="1114"/>
      <c r="B62" s="1114"/>
      <c r="C62" s="1114"/>
      <c r="D62" s="1114"/>
      <c r="E62" s="1114"/>
      <c r="F62" s="1114"/>
      <c r="G62" s="1114"/>
    </row>
    <row r="63" spans="1:7" ht="20.25" customHeight="1">
      <c r="A63" s="1114"/>
      <c r="B63" s="1114"/>
      <c r="C63" s="1114"/>
      <c r="D63" s="1114"/>
      <c r="E63" s="1114"/>
      <c r="F63" s="1114"/>
      <c r="G63" s="1114"/>
    </row>
    <row r="64" spans="1:7" ht="20.25" customHeight="1">
      <c r="A64" s="1114"/>
      <c r="B64" s="1114"/>
      <c r="C64" s="1114"/>
      <c r="D64" s="1114"/>
      <c r="E64" s="1114"/>
      <c r="F64" s="1114"/>
      <c r="G64" s="1114"/>
    </row>
    <row r="65" spans="1:7" ht="20.25" customHeight="1">
      <c r="A65" s="1114"/>
      <c r="B65" s="1114"/>
      <c r="C65" s="1114"/>
      <c r="D65" s="1114"/>
      <c r="E65" s="1114"/>
      <c r="F65" s="1114"/>
      <c r="G65" s="1114"/>
    </row>
    <row r="66" ht="12.75">
      <c r="B66" s="538"/>
    </row>
    <row r="67" ht="12.75">
      <c r="B67" s="538"/>
    </row>
    <row r="68" ht="12.75">
      <c r="B68" s="538"/>
    </row>
    <row r="69" ht="12.75">
      <c r="B69" s="538"/>
    </row>
    <row r="70" ht="12.75">
      <c r="B70" s="538"/>
    </row>
    <row r="71" ht="12.75">
      <c r="B71" s="538"/>
    </row>
    <row r="72" ht="12.75">
      <c r="B72" s="538"/>
    </row>
    <row r="73" ht="12.75">
      <c r="B73" s="538"/>
    </row>
    <row r="74" ht="12.75">
      <c r="B74" s="538"/>
    </row>
    <row r="75" ht="12.75">
      <c r="B75" s="538"/>
    </row>
    <row r="76" ht="12.75">
      <c r="B76" s="538"/>
    </row>
    <row r="77" ht="12.75">
      <c r="B77" s="538"/>
    </row>
    <row r="78" ht="12.75">
      <c r="B78" s="538"/>
    </row>
    <row r="79" ht="12.75">
      <c r="B79" s="538"/>
    </row>
    <row r="80" ht="12.75">
      <c r="B80" s="538"/>
    </row>
    <row r="81" ht="12.75">
      <c r="B81" s="538"/>
    </row>
  </sheetData>
  <sheetProtection/>
  <mergeCells count="6">
    <mergeCell ref="A61:G65"/>
    <mergeCell ref="A5:F5"/>
    <mergeCell ref="A1:F1"/>
    <mergeCell ref="A2:F2"/>
    <mergeCell ref="A3:F3"/>
    <mergeCell ref="A4:F4"/>
  </mergeCells>
  <printOptions/>
  <pageMargins left="0.44" right="1.15" top="1" bottom="1" header="0.75" footer="0.5"/>
  <pageSetup horizontalDpi="600" verticalDpi="600" orientation="portrait" scale="48" r:id="rId1"/>
  <headerFooter alignWithMargins="0">
    <oddHeader>&amp;R&amp;"Arial,Bold"Formula Rate 
 Supplemental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zoomScalePageLayoutView="0" workbookViewId="0" topLeftCell="A1">
      <selection activeCell="A1" sqref="A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3.00390625" style="0" customWidth="1"/>
    <col min="7" max="7" width="19.421875" style="0" customWidth="1"/>
    <col min="8" max="8" width="14.7109375" style="0" customWidth="1"/>
    <col min="9" max="9" width="12.57421875" style="0" bestFit="1" customWidth="1"/>
    <col min="10" max="10" width="2.57421875" style="0" customWidth="1"/>
  </cols>
  <sheetData>
    <row r="1" spans="1:13" ht="18">
      <c r="A1" s="1172" t="s">
        <v>282</v>
      </c>
      <c r="B1" s="1172"/>
      <c r="C1" s="1172"/>
      <c r="D1" s="1172"/>
      <c r="E1" s="1172"/>
      <c r="F1" s="1172"/>
      <c r="G1" s="1172"/>
      <c r="H1" s="1172"/>
      <c r="I1" s="1172"/>
      <c r="J1" s="1172"/>
      <c r="K1" s="527"/>
      <c r="L1" s="527"/>
      <c r="M1" s="527"/>
    </row>
    <row r="2" spans="1:13" ht="18">
      <c r="A2" s="1118" t="str">
        <f>"Cost of Service Formula Rate Using "&amp;'KGPCo Historic TCOS'!O1&amp;" FF1 Balances"</f>
        <v>Cost of Service Formula Rate Using 2011 FF1 Balances</v>
      </c>
      <c r="B2" s="1118"/>
      <c r="C2" s="1118"/>
      <c r="D2" s="1118"/>
      <c r="E2" s="1118"/>
      <c r="F2" s="1118"/>
      <c r="G2" s="1118"/>
      <c r="H2" s="1118"/>
      <c r="I2" s="1118"/>
      <c r="J2" s="1118"/>
      <c r="K2" s="291"/>
      <c r="L2" s="291"/>
      <c r="M2" s="291"/>
    </row>
    <row r="3" spans="1:13" ht="18">
      <c r="A3" s="1118" t="s">
        <v>383</v>
      </c>
      <c r="B3" s="1118"/>
      <c r="C3" s="1118"/>
      <c r="D3" s="1118"/>
      <c r="E3" s="1118"/>
      <c r="F3" s="1118"/>
      <c r="G3" s="1118"/>
      <c r="H3" s="1118"/>
      <c r="I3" s="1118"/>
      <c r="J3" s="1118"/>
      <c r="K3" s="528"/>
      <c r="L3" s="528"/>
      <c r="M3" s="528"/>
    </row>
    <row r="4" spans="1:13" ht="18">
      <c r="A4" s="1129" t="str">
        <f>+'KGPCo Historic TCOS'!F7</f>
        <v>KINGSPORT POWER COMPANY</v>
      </c>
      <c r="B4" s="1129"/>
      <c r="C4" s="1129"/>
      <c r="D4" s="1129"/>
      <c r="E4" s="1129"/>
      <c r="F4" s="1129"/>
      <c r="G4" s="1129"/>
      <c r="H4" s="1129"/>
      <c r="I4" s="1129"/>
      <c r="J4" s="1129"/>
      <c r="K4" s="546"/>
      <c r="L4" s="546"/>
      <c r="M4" s="546"/>
    </row>
    <row r="5" spans="1:9" ht="12.75">
      <c r="A5" s="557" t="s">
        <v>310</v>
      </c>
      <c r="B5" s="557" t="s">
        <v>311</v>
      </c>
      <c r="C5" s="557" t="s">
        <v>545</v>
      </c>
      <c r="D5" s="557" t="s">
        <v>312</v>
      </c>
      <c r="E5" s="557" t="s">
        <v>313</v>
      </c>
      <c r="F5" s="557" t="s">
        <v>314</v>
      </c>
      <c r="G5" s="557" t="s">
        <v>315</v>
      </c>
      <c r="H5" s="557" t="s">
        <v>316</v>
      </c>
      <c r="I5" s="557" t="s">
        <v>317</v>
      </c>
    </row>
    <row r="7" spans="1:6" ht="18">
      <c r="A7" s="553" t="s">
        <v>766</v>
      </c>
      <c r="B7" s="345" t="s">
        <v>119</v>
      </c>
      <c r="D7" s="378"/>
      <c r="E7" s="103"/>
      <c r="F7" s="397"/>
    </row>
    <row r="8" spans="3:29" ht="18">
      <c r="C8" s="105"/>
      <c r="D8" s="378"/>
      <c r="E8" s="103"/>
      <c r="F8" s="397"/>
      <c r="Q8" s="527"/>
      <c r="R8" s="527"/>
      <c r="S8" s="527"/>
      <c r="T8" s="527"/>
      <c r="U8" s="527"/>
      <c r="V8" s="527"/>
      <c r="W8" s="527"/>
      <c r="X8" s="527"/>
      <c r="Y8" s="527"/>
      <c r="Z8" s="527"/>
      <c r="AA8" s="527"/>
      <c r="AB8" s="527"/>
      <c r="AC8" s="527"/>
    </row>
    <row r="9" spans="1:8" ht="12.75">
      <c r="A9">
        <v>1</v>
      </c>
      <c r="C9" s="105" t="str">
        <f>"Transmission Plant @ Beginning of Historic Period ("&amp;'KGPCo Historic TCOS'!O1&amp;") (P.206, ln 58,(b)):"</f>
        <v>Transmission Plant @ Beginning of Historic Period (2011) (P.206, ln 58,(b)):</v>
      </c>
      <c r="D9" s="378"/>
      <c r="H9" s="554">
        <v>19006058</v>
      </c>
    </row>
    <row r="10" spans="1:8" ht="12.75">
      <c r="A10">
        <f aca="true" t="shared" si="0" ref="A10:A15">+A9+1</f>
        <v>2</v>
      </c>
      <c r="C10" s="105" t="str">
        <f>"Transmission Plant @ End of Historic Period ("&amp;'KGPCo Historic TCOS'!O1&amp;") (P.207, ln 58,(g)):"</f>
        <v>Transmission Plant @ End of Historic Period (2011) (P.207, ln 58,(g)):</v>
      </c>
      <c r="D10" s="378"/>
      <c r="H10" s="545">
        <f>+'KGPCo WS A  - RB Support '!E18</f>
        <v>20264445</v>
      </c>
    </row>
    <row r="11" spans="1:8" ht="12.75">
      <c r="A11">
        <f t="shared" si="0"/>
        <v>3</v>
      </c>
      <c r="C11" s="105"/>
      <c r="D11" s="378"/>
      <c r="H11" s="379">
        <f>+H10+H9</f>
        <v>39270503</v>
      </c>
    </row>
    <row r="12" spans="1:8" ht="12.75">
      <c r="A12">
        <f t="shared" si="0"/>
        <v>4</v>
      </c>
      <c r="C12" s="105" t="s">
        <v>264</v>
      </c>
      <c r="D12" s="378"/>
      <c r="H12" s="379">
        <f>+H11/2</f>
        <v>19635251.5</v>
      </c>
    </row>
    <row r="13" spans="1:8" ht="12.75">
      <c r="A13">
        <f t="shared" si="0"/>
        <v>5</v>
      </c>
      <c r="C13" s="105" t="str">
        <f>+"Annual Depreciation Expense, Historic TCOS, ln "&amp;'KGPCo Historic TCOS'!B178&amp;""</f>
        <v>Annual Depreciation Expense, Historic TCOS, ln 276</v>
      </c>
      <c r="D13" s="378"/>
      <c r="E13" s="103"/>
      <c r="H13" s="379">
        <f>+'KGPCo Historic TCOS'!G178</f>
        <v>487251</v>
      </c>
    </row>
    <row r="14" spans="1:8" ht="12.75">
      <c r="A14">
        <f t="shared" si="0"/>
        <v>6</v>
      </c>
      <c r="C14" s="105" t="s">
        <v>120</v>
      </c>
      <c r="D14" s="378"/>
      <c r="E14" s="103"/>
      <c r="H14" s="397">
        <f>+H13/H12</f>
        <v>0.024815113776362883</v>
      </c>
    </row>
    <row r="15" spans="1:8" ht="12.75">
      <c r="A15">
        <f t="shared" si="0"/>
        <v>7</v>
      </c>
      <c r="C15" s="105" t="str">
        <f>"Round to "&amp;ROUND(H15,4)*100&amp;"% to Reflect a Composite Life of "&amp;ROUND(1/H15,0)&amp;" Years"</f>
        <v>Round to 2.48% to Reflect a Composite Life of 40 Years</v>
      </c>
      <c r="D15" s="378"/>
      <c r="E15" s="103"/>
      <c r="H15" s="547">
        <f>ROUND(+H14,4)</f>
        <v>0.0248</v>
      </c>
    </row>
    <row r="17" spans="1:2" ht="18">
      <c r="A17" s="553" t="s">
        <v>767</v>
      </c>
      <c r="B17" s="140" t="s">
        <v>265</v>
      </c>
    </row>
    <row r="19" spans="1:10" ht="51">
      <c r="A19" s="139">
        <f>+A15+1</f>
        <v>8</v>
      </c>
      <c r="B19" s="139"/>
      <c r="C19" s="548" t="s">
        <v>266</v>
      </c>
      <c r="D19" s="548" t="s">
        <v>267</v>
      </c>
      <c r="E19" s="548" t="s">
        <v>268</v>
      </c>
      <c r="F19" s="548" t="s">
        <v>269</v>
      </c>
      <c r="G19" s="548" t="s">
        <v>270</v>
      </c>
      <c r="H19" s="548" t="s">
        <v>271</v>
      </c>
      <c r="I19" s="548" t="s">
        <v>272</v>
      </c>
      <c r="J19" s="549"/>
    </row>
    <row r="21" spans="1:9" ht="12.75">
      <c r="A21">
        <f>+A19+1</f>
        <v>9</v>
      </c>
      <c r="C21" t="s">
        <v>858</v>
      </c>
      <c r="D21" s="1105">
        <v>168460.598028276</v>
      </c>
      <c r="E21" s="550">
        <f>H15</f>
        <v>0.0248</v>
      </c>
      <c r="F21" s="551">
        <f aca="true" t="shared" si="1" ref="F21:F32">E21*D21</f>
        <v>4177.822831101244</v>
      </c>
      <c r="G21" s="551">
        <f aca="true" t="shared" si="2" ref="G21:G32">ROUND(+F21/12,0)</f>
        <v>348</v>
      </c>
      <c r="H21">
        <v>11</v>
      </c>
      <c r="I21" s="551">
        <f aca="true" t="shared" si="3" ref="I21:I32">H21*G21</f>
        <v>3828</v>
      </c>
    </row>
    <row r="22" spans="1:9" ht="12.75">
      <c r="A22">
        <f>+A21+1</f>
        <v>10</v>
      </c>
      <c r="C22" t="s">
        <v>273</v>
      </c>
      <c r="D22" s="1105">
        <v>181286.811380847</v>
      </c>
      <c r="E22" s="457">
        <f aca="true" t="shared" si="4" ref="E22:E32">+E21</f>
        <v>0.0248</v>
      </c>
      <c r="F22" s="551">
        <f t="shared" si="1"/>
        <v>4495.912922245006</v>
      </c>
      <c r="G22" s="551">
        <f t="shared" si="2"/>
        <v>375</v>
      </c>
      <c r="H22">
        <v>10</v>
      </c>
      <c r="I22" s="551">
        <f t="shared" si="3"/>
        <v>3750</v>
      </c>
    </row>
    <row r="23" spans="1:9" ht="12.75">
      <c r="A23">
        <f aca="true" t="shared" si="5" ref="A23:A32">+A22+1</f>
        <v>11</v>
      </c>
      <c r="C23" t="s">
        <v>859</v>
      </c>
      <c r="D23" s="1105">
        <v>428081.40204166604</v>
      </c>
      <c r="E23" s="457">
        <f t="shared" si="4"/>
        <v>0.0248</v>
      </c>
      <c r="F23" s="551">
        <f t="shared" si="1"/>
        <v>10616.418770633318</v>
      </c>
      <c r="G23" s="551">
        <f t="shared" si="2"/>
        <v>885</v>
      </c>
      <c r="H23">
        <v>9</v>
      </c>
      <c r="I23" s="551">
        <f t="shared" si="3"/>
        <v>7965</v>
      </c>
    </row>
    <row r="24" spans="1:9" ht="12.75">
      <c r="A24">
        <f t="shared" si="5"/>
        <v>12</v>
      </c>
      <c r="C24" t="s">
        <v>860</v>
      </c>
      <c r="D24" s="1105">
        <v>460888.99204166594</v>
      </c>
      <c r="E24" s="457">
        <f t="shared" si="4"/>
        <v>0.0248</v>
      </c>
      <c r="F24" s="551">
        <f t="shared" si="1"/>
        <v>11430.047002633315</v>
      </c>
      <c r="G24" s="551">
        <f t="shared" si="2"/>
        <v>953</v>
      </c>
      <c r="H24">
        <v>8</v>
      </c>
      <c r="I24" s="551">
        <f t="shared" si="3"/>
        <v>7624</v>
      </c>
    </row>
    <row r="25" spans="1:9" ht="12.75">
      <c r="A25">
        <f t="shared" si="5"/>
        <v>13</v>
      </c>
      <c r="C25" t="s">
        <v>861</v>
      </c>
      <c r="D25" s="1105">
        <v>476382.242041666</v>
      </c>
      <c r="E25" s="457">
        <f t="shared" si="4"/>
        <v>0.0248</v>
      </c>
      <c r="F25" s="551">
        <f t="shared" si="1"/>
        <v>11814.279602633316</v>
      </c>
      <c r="G25" s="551">
        <f t="shared" si="2"/>
        <v>985</v>
      </c>
      <c r="H25">
        <v>7</v>
      </c>
      <c r="I25" s="551">
        <f t="shared" si="3"/>
        <v>6895</v>
      </c>
    </row>
    <row r="26" spans="1:9" ht="12.75">
      <c r="A26">
        <f t="shared" si="5"/>
        <v>14</v>
      </c>
      <c r="C26" t="s">
        <v>274</v>
      </c>
      <c r="D26" s="1105">
        <v>309041.232041666</v>
      </c>
      <c r="E26" s="457">
        <f t="shared" si="4"/>
        <v>0.0248</v>
      </c>
      <c r="F26" s="551">
        <f t="shared" si="1"/>
        <v>7664.222554633317</v>
      </c>
      <c r="G26" s="551">
        <f t="shared" si="2"/>
        <v>639</v>
      </c>
      <c r="H26">
        <v>6</v>
      </c>
      <c r="I26" s="551">
        <f t="shared" si="3"/>
        <v>3834</v>
      </c>
    </row>
    <row r="27" spans="1:9" ht="12.75">
      <c r="A27">
        <f t="shared" si="5"/>
        <v>15</v>
      </c>
      <c r="C27" t="s">
        <v>862</v>
      </c>
      <c r="D27" s="1105">
        <v>267392.96204166603</v>
      </c>
      <c r="E27" s="457">
        <f t="shared" si="4"/>
        <v>0.0248</v>
      </c>
      <c r="F27" s="551">
        <f t="shared" si="1"/>
        <v>6631.345458633317</v>
      </c>
      <c r="G27" s="551">
        <f t="shared" si="2"/>
        <v>553</v>
      </c>
      <c r="H27">
        <v>5</v>
      </c>
      <c r="I27" s="551">
        <f t="shared" si="3"/>
        <v>2765</v>
      </c>
    </row>
    <row r="28" spans="1:9" ht="12.75">
      <c r="A28">
        <f t="shared" si="5"/>
        <v>16</v>
      </c>
      <c r="C28" t="s">
        <v>863</v>
      </c>
      <c r="D28" s="1105">
        <v>211610.450375</v>
      </c>
      <c r="E28" s="457">
        <f t="shared" si="4"/>
        <v>0.0248</v>
      </c>
      <c r="F28" s="551">
        <f t="shared" si="1"/>
        <v>5247.9391693</v>
      </c>
      <c r="G28" s="551">
        <f t="shared" si="2"/>
        <v>437</v>
      </c>
      <c r="H28">
        <v>4</v>
      </c>
      <c r="I28" s="551">
        <f t="shared" si="3"/>
        <v>1748</v>
      </c>
    </row>
    <row r="29" spans="1:9" ht="12.75">
      <c r="A29">
        <f t="shared" si="5"/>
        <v>17</v>
      </c>
      <c r="C29" t="s">
        <v>866</v>
      </c>
      <c r="D29" s="1105">
        <v>206618.70037500001</v>
      </c>
      <c r="E29" s="457">
        <f t="shared" si="4"/>
        <v>0.0248</v>
      </c>
      <c r="F29" s="551">
        <f t="shared" si="1"/>
        <v>5124.1437693</v>
      </c>
      <c r="G29" s="551">
        <f t="shared" si="2"/>
        <v>427</v>
      </c>
      <c r="H29">
        <v>3</v>
      </c>
      <c r="I29" s="551">
        <f t="shared" si="3"/>
        <v>1281</v>
      </c>
    </row>
    <row r="30" spans="1:9" ht="12.75">
      <c r="A30">
        <f t="shared" si="5"/>
        <v>18</v>
      </c>
      <c r="C30" t="s">
        <v>864</v>
      </c>
      <c r="D30" s="1105">
        <v>225987.430375</v>
      </c>
      <c r="E30" s="457">
        <f t="shared" si="4"/>
        <v>0.0248</v>
      </c>
      <c r="F30" s="551">
        <f t="shared" si="1"/>
        <v>5604.4882732999995</v>
      </c>
      <c r="G30" s="551">
        <f t="shared" si="2"/>
        <v>467</v>
      </c>
      <c r="H30">
        <v>2</v>
      </c>
      <c r="I30" s="551">
        <f t="shared" si="3"/>
        <v>934</v>
      </c>
    </row>
    <row r="31" spans="1:9" ht="12.75">
      <c r="A31">
        <f t="shared" si="5"/>
        <v>19</v>
      </c>
      <c r="C31" t="s">
        <v>275</v>
      </c>
      <c r="D31" s="1105">
        <v>148653.250375</v>
      </c>
      <c r="E31" s="457">
        <f t="shared" si="4"/>
        <v>0.0248</v>
      </c>
      <c r="F31" s="551">
        <f t="shared" si="1"/>
        <v>3686.6006093</v>
      </c>
      <c r="G31" s="551">
        <f t="shared" si="2"/>
        <v>307</v>
      </c>
      <c r="H31">
        <v>1</v>
      </c>
      <c r="I31" s="551">
        <f t="shared" si="3"/>
        <v>307</v>
      </c>
    </row>
    <row r="32" spans="1:9" ht="12.75">
      <c r="A32">
        <f t="shared" si="5"/>
        <v>20</v>
      </c>
      <c r="C32" t="s">
        <v>865</v>
      </c>
      <c r="D32" s="1105">
        <v>138022.89037500002</v>
      </c>
      <c r="E32" s="457">
        <f t="shared" si="4"/>
        <v>0.0248</v>
      </c>
      <c r="F32" s="551">
        <f t="shared" si="1"/>
        <v>3422.9676813</v>
      </c>
      <c r="G32" s="551">
        <f t="shared" si="2"/>
        <v>285</v>
      </c>
      <c r="H32">
        <v>0</v>
      </c>
      <c r="I32" s="551">
        <f t="shared" si="3"/>
        <v>0</v>
      </c>
    </row>
    <row r="34" spans="1:9" ht="13.5" thickBot="1">
      <c r="A34">
        <f>+A32+1</f>
        <v>21</v>
      </c>
      <c r="C34" t="s">
        <v>124</v>
      </c>
      <c r="D34" s="552">
        <f>SUM(D21:D33)</f>
        <v>3222426.961492453</v>
      </c>
      <c r="H34" s="296" t="s">
        <v>276</v>
      </c>
      <c r="I34" s="552">
        <f>SUM(I21:I33)</f>
        <v>40931</v>
      </c>
    </row>
    <row r="35" ht="13.5" thickTop="1"/>
    <row r="36" spans="1:2" ht="18">
      <c r="A36" s="553" t="s">
        <v>768</v>
      </c>
      <c r="B36" s="140" t="s">
        <v>277</v>
      </c>
    </row>
    <row r="37" spans="1:5" ht="12.75">
      <c r="A37">
        <f>+A34+1</f>
        <v>22</v>
      </c>
      <c r="D37" s="896">
        <v>0</v>
      </c>
      <c r="E37" t="s">
        <v>278</v>
      </c>
    </row>
    <row r="38" spans="1:5" ht="12.75">
      <c r="A38">
        <f>+A37+1</f>
        <v>23</v>
      </c>
      <c r="D38" s="896">
        <v>0</v>
      </c>
      <c r="E38" t="s">
        <v>379</v>
      </c>
    </row>
    <row r="39" ht="12.75">
      <c r="E39" t="s">
        <v>380</v>
      </c>
    </row>
    <row r="40" spans="1:5" ht="12.75">
      <c r="A40">
        <f>+A38+1</f>
        <v>24</v>
      </c>
      <c r="B40" t="str">
        <f>"(Ln "&amp;A15&amp;" * Ln "&amp;A37&amp;")"</f>
        <v>(Ln 7 * Ln 22)</v>
      </c>
      <c r="D40" s="610">
        <f>+D37*E32</f>
        <v>0</v>
      </c>
      <c r="E40" t="s">
        <v>384</v>
      </c>
    </row>
    <row r="43" spans="1:9" ht="18">
      <c r="A43" s="553" t="s">
        <v>769</v>
      </c>
      <c r="B43" s="563" t="str">
        <f>"List of Major Projects Expected to be In-Service in "&amp;'KGPCo Historic TCOS'!O1&amp;""</f>
        <v>List of Major Projects Expected to be In-Service in 2011</v>
      </c>
      <c r="C43" s="555"/>
      <c r="E43" s="555"/>
      <c r="F43" s="555"/>
      <c r="G43" s="555"/>
      <c r="H43" s="555"/>
      <c r="I43" s="378"/>
    </row>
    <row r="44" spans="2:9" ht="12.75">
      <c r="B44" s="556"/>
      <c r="C44" s="555"/>
      <c r="D44" s="555"/>
      <c r="E44" s="555"/>
      <c r="F44" s="555"/>
      <c r="G44" s="555"/>
      <c r="H44" s="555"/>
      <c r="I44" s="378"/>
    </row>
    <row r="45" spans="2:8" ht="25.5">
      <c r="B45" s="562"/>
      <c r="C45" s="555"/>
      <c r="D45" s="555"/>
      <c r="E45" s="555"/>
      <c r="F45" s="555"/>
      <c r="G45" s="564" t="s">
        <v>385</v>
      </c>
      <c r="H45" s="564" t="s">
        <v>266</v>
      </c>
    </row>
    <row r="46" spans="1:7" ht="12.75">
      <c r="A46">
        <f>+A40+1</f>
        <v>25</v>
      </c>
      <c r="B46" s="562" t="s">
        <v>691</v>
      </c>
      <c r="C46" s="557"/>
      <c r="D46" s="557"/>
      <c r="E46" s="557"/>
      <c r="F46" s="557"/>
      <c r="G46" s="557"/>
    </row>
    <row r="47" spans="1:11" ht="12.75">
      <c r="A47">
        <f>+A46+1</f>
        <v>26</v>
      </c>
      <c r="B47" s="149" t="s">
        <v>255</v>
      </c>
      <c r="C47" s="555"/>
      <c r="D47" s="555"/>
      <c r="E47" s="555"/>
      <c r="F47" s="555"/>
      <c r="G47" s="939">
        <v>0</v>
      </c>
      <c r="H47" s="914" t="s">
        <v>11</v>
      </c>
      <c r="I47" s="560"/>
      <c r="J47" s="565"/>
      <c r="K47" s="561"/>
    </row>
    <row r="48" spans="1:10" ht="12.75">
      <c r="A48">
        <f>+A47+1</f>
        <v>27</v>
      </c>
      <c r="B48" s="559"/>
      <c r="F48" s="296" t="s">
        <v>386</v>
      </c>
      <c r="G48" s="667">
        <f>SUM(G47:G47)</f>
        <v>0</v>
      </c>
      <c r="H48" s="567"/>
      <c r="I48" s="560"/>
      <c r="J48" s="565"/>
    </row>
    <row r="49" spans="2:10" ht="12.75">
      <c r="B49" s="559"/>
      <c r="F49" s="296"/>
      <c r="G49" s="558"/>
      <c r="H49" s="567"/>
      <c r="I49" s="560"/>
      <c r="J49" s="565"/>
    </row>
    <row r="50" spans="1:10" ht="12.75">
      <c r="A50">
        <f>+A48+1</f>
        <v>28</v>
      </c>
      <c r="B50" s="562" t="s">
        <v>692</v>
      </c>
      <c r="G50" s="558"/>
      <c r="H50" s="567"/>
      <c r="I50" s="560"/>
      <c r="J50" s="565"/>
    </row>
    <row r="51" spans="1:10" ht="12.75">
      <c r="A51">
        <f>+A50+1</f>
        <v>29</v>
      </c>
      <c r="B51" s="149" t="s">
        <v>255</v>
      </c>
      <c r="C51" s="915"/>
      <c r="D51" s="555"/>
      <c r="E51" s="555"/>
      <c r="F51" s="555"/>
      <c r="G51" s="939">
        <v>0</v>
      </c>
      <c r="H51" s="565"/>
      <c r="J51" s="565"/>
    </row>
    <row r="52" spans="1:10" ht="12.75">
      <c r="A52">
        <f>+A51+1</f>
        <v>30</v>
      </c>
      <c r="F52" s="296" t="s">
        <v>386</v>
      </c>
      <c r="G52" s="667">
        <f>SUM(G51:G51)</f>
        <v>0</v>
      </c>
      <c r="J52" s="566"/>
    </row>
    <row r="56" spans="5:8" ht="12.75">
      <c r="E56" s="1104"/>
      <c r="H56" s="378"/>
    </row>
    <row r="57" spans="5:8" ht="12.75">
      <c r="E57" s="1104"/>
      <c r="H57" s="555"/>
    </row>
    <row r="58" ht="12.75">
      <c r="E58" s="1104"/>
    </row>
    <row r="59" spans="5:8" ht="12.75">
      <c r="E59" s="1104"/>
      <c r="H59" s="378"/>
    </row>
    <row r="60" ht="12.75">
      <c r="E60" s="1104"/>
    </row>
    <row r="61" ht="12.75">
      <c r="E61" s="1104"/>
    </row>
    <row r="62" ht="12.75">
      <c r="E62" s="1104"/>
    </row>
    <row r="63" spans="5:8" ht="12.75">
      <c r="E63" s="1104"/>
      <c r="H63" s="556"/>
    </row>
    <row r="64" spans="5:8" ht="12.75">
      <c r="E64" s="1104"/>
      <c r="H64" s="668"/>
    </row>
    <row r="65" spans="5:8" ht="12.75">
      <c r="E65" s="1104"/>
      <c r="H65" s="668"/>
    </row>
    <row r="66" ht="12.75">
      <c r="E66" s="1104"/>
    </row>
    <row r="67" ht="12.75">
      <c r="E67" s="1104"/>
    </row>
    <row r="74" spans="2:7" ht="12.75">
      <c r="B74" s="559"/>
      <c r="G74" s="560"/>
    </row>
    <row r="75" ht="12.75">
      <c r="G75" s="560"/>
    </row>
    <row r="76" spans="2:7" ht="12.75">
      <c r="B76" s="669"/>
      <c r="G76" s="670"/>
    </row>
    <row r="77" ht="12.75">
      <c r="G77" s="560"/>
    </row>
    <row r="78" ht="12.75">
      <c r="G78" s="561"/>
    </row>
  </sheetData>
  <sheetProtection/>
  <mergeCells count="4">
    <mergeCell ref="A2:J2"/>
    <mergeCell ref="A1:J1"/>
    <mergeCell ref="A4:J4"/>
    <mergeCell ref="A3:J3"/>
  </mergeCells>
  <printOptions/>
  <pageMargins left="0.26" right="0.52" top="1" bottom="1" header="0.75" footer="0.5"/>
  <pageSetup fitToHeight="1" fitToWidth="1" horizontalDpi="600" verticalDpi="600" orientation="portrait" scale="8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69"/>
  <sheetViews>
    <sheetView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40"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1" t="s">
        <v>282</v>
      </c>
      <c r="B1" s="1141"/>
      <c r="C1" s="1141"/>
      <c r="D1" s="1141"/>
      <c r="E1" s="1141"/>
      <c r="F1" s="1141"/>
      <c r="G1" s="1141"/>
      <c r="H1" s="1141"/>
      <c r="I1" s="1141"/>
      <c r="J1" s="1141"/>
      <c r="K1" s="1141"/>
      <c r="L1" s="1141"/>
      <c r="M1" s="1141"/>
      <c r="N1" s="1141"/>
      <c r="O1" s="1141"/>
      <c r="P1" s="135"/>
    </row>
    <row r="2" spans="1:16" ht="15">
      <c r="A2" s="1140" t="str">
        <f>"Cost of Service Formula Rate Using "&amp;'KGPCo Historic TCOS'!O1&amp;" FF1 Balances"</f>
        <v>Cost of Service Formula Rate Using 2011 FF1 Balances</v>
      </c>
      <c r="B2" s="1140"/>
      <c r="C2" s="1140"/>
      <c r="D2" s="1140"/>
      <c r="E2" s="1140"/>
      <c r="F2" s="1140"/>
      <c r="G2" s="1140"/>
      <c r="H2" s="1140"/>
      <c r="I2" s="1140"/>
      <c r="J2" s="1140"/>
      <c r="K2" s="1140"/>
      <c r="L2" s="1140"/>
      <c r="M2" s="1140"/>
      <c r="N2" s="1140"/>
      <c r="O2" s="1140"/>
      <c r="P2" s="135"/>
    </row>
    <row r="3" spans="1:16" ht="15">
      <c r="A3" s="1140" t="s">
        <v>377</v>
      </c>
      <c r="B3" s="1140"/>
      <c r="C3" s="1140"/>
      <c r="D3" s="1140"/>
      <c r="E3" s="1140"/>
      <c r="F3" s="1140"/>
      <c r="G3" s="1140"/>
      <c r="H3" s="1140"/>
      <c r="I3" s="1140"/>
      <c r="J3" s="1140"/>
      <c r="K3" s="1140"/>
      <c r="L3" s="1140"/>
      <c r="M3" s="1140"/>
      <c r="N3" s="1140"/>
      <c r="O3" s="1140"/>
      <c r="P3" s="135"/>
    </row>
    <row r="4" spans="1:16" ht="15">
      <c r="A4" s="1120" t="str">
        <f>+'KGPCo WS A  - RB Support '!A4:F4</f>
        <v>KINGSPORT POWER COMPANY</v>
      </c>
      <c r="B4" s="1120"/>
      <c r="C4" s="1120"/>
      <c r="D4" s="1120"/>
      <c r="E4" s="1120"/>
      <c r="F4" s="1120"/>
      <c r="G4" s="1120"/>
      <c r="H4" s="1120"/>
      <c r="I4" s="1120"/>
      <c r="J4" s="1120"/>
      <c r="K4" s="1120"/>
      <c r="L4" s="1120"/>
      <c r="M4" s="1120"/>
      <c r="N4" s="1120"/>
      <c r="O4" s="1120"/>
      <c r="P4" s="135"/>
    </row>
    <row r="5" ht="12.75">
      <c r="P5" s="135"/>
    </row>
    <row r="6" spans="1:16" ht="20.25">
      <c r="A6" s="435"/>
      <c r="B6" s="149"/>
      <c r="C6" s="149"/>
      <c r="N6" s="643" t="str">
        <f>"Page "&amp;P6&amp;" of "</f>
        <v>Page 1 of </v>
      </c>
      <c r="O6" s="644">
        <f>COUNT(P$6:P$59671)</f>
        <v>2</v>
      </c>
      <c r="P6" s="343">
        <v>1</v>
      </c>
    </row>
    <row r="7" spans="3:16" ht="18">
      <c r="C7" s="345"/>
      <c r="P7" s="135"/>
    </row>
    <row r="8" ht="12.75">
      <c r="P8" s="135"/>
    </row>
    <row r="9" spans="2:16" ht="18">
      <c r="B9" s="344" t="s">
        <v>766</v>
      </c>
      <c r="C9" s="1181" t="str">
        <f>"Calculate Return and Income Taxes with "&amp;F15&amp;" basis point ROE increase for Projects Qualified for Regional Billing."</f>
        <v>Calculate Return and Income Taxes with  basis point ROE increase for Projects Qualified for Regional Billing.</v>
      </c>
      <c r="D9" s="1165"/>
      <c r="E9" s="1165"/>
      <c r="F9" s="1165"/>
      <c r="G9" s="1165"/>
      <c r="H9" s="1165"/>
      <c r="P9" s="135"/>
    </row>
    <row r="10" spans="3:16" ht="18.75" customHeight="1">
      <c r="C10" s="1165"/>
      <c r="D10" s="1165"/>
      <c r="E10" s="1165"/>
      <c r="F10" s="1165"/>
      <c r="G10" s="1165"/>
      <c r="H10" s="1165"/>
      <c r="P10" s="135"/>
    </row>
    <row r="11" spans="3:16" ht="15.75" customHeight="1">
      <c r="C11" s="139"/>
      <c r="D11" s="139"/>
      <c r="E11" s="139"/>
      <c r="F11" s="139"/>
      <c r="G11" s="139"/>
      <c r="H11" s="139"/>
      <c r="P11" s="135"/>
    </row>
    <row r="12" spans="3:16" ht="15.75">
      <c r="C12" s="346" t="str">
        <f>"A.   Determine 'R' with hypothetical "&amp;F15&amp;" basis point increase in ROE for Identified Projects"</f>
        <v>A.   Determine 'R' with hypothetical  basis point increase in ROE for Identified Projects</v>
      </c>
      <c r="P12" s="135"/>
    </row>
    <row r="13" ht="12.75">
      <c r="P13" s="135"/>
    </row>
    <row r="14" spans="3:16" ht="12.75">
      <c r="C14" s="347" t="str">
        <f>"   ROE w/o incentives  (Projected TCOS, ln "&amp;'KGPCo Projected TCOS'!B257&amp;")"</f>
        <v>   ROE w/o incentives  (Projected TCOS, ln 164)</v>
      </c>
      <c r="E14" s="348"/>
      <c r="F14" s="738">
        <f>+'KGPCo Projected TCOS'!J257</f>
        <v>0.1149</v>
      </c>
      <c r="G14" s="348"/>
      <c r="H14" s="349"/>
      <c r="I14" s="349"/>
      <c r="J14" s="350"/>
      <c r="K14" s="349"/>
      <c r="L14" s="349"/>
      <c r="M14" s="349"/>
      <c r="N14" s="349"/>
      <c r="O14" s="349"/>
      <c r="P14" s="350"/>
    </row>
    <row r="15" spans="3:10" ht="12.75">
      <c r="C15" s="347" t="s">
        <v>100</v>
      </c>
      <c r="E15" s="348"/>
      <c r="F15" s="859"/>
      <c r="G15" s="708" t="s">
        <v>229</v>
      </c>
      <c r="H15" s="349"/>
      <c r="I15" s="349"/>
      <c r="J15" s="350"/>
    </row>
    <row r="16" spans="3:10" ht="12.75">
      <c r="C16" s="347" t="str">
        <f>"   ROE with additional "&amp;F15&amp;" basis point incentive"</f>
        <v>   ROE with additional  basis point incentive</v>
      </c>
      <c r="D16" s="348"/>
      <c r="E16" s="348"/>
      <c r="F16" s="570">
        <f>IF((F14+(F15/10000)&gt;0.1274),"ERROR",F14+(F15/10000))</f>
        <v>0.1149</v>
      </c>
      <c r="G16" s="815" t="str">
        <f>"&lt;== ROE Including Incentives  Cannot Exceed "&amp;12.74&amp;"% Until July 1, 2012"</f>
        <v>&lt;== ROE Including Incentives  Cannot Exceed 12.74% Until July 1, 2012</v>
      </c>
      <c r="H16" s="349"/>
      <c r="I16" s="349"/>
      <c r="J16" s="350"/>
    </row>
    <row r="17" spans="3:10" ht="12.75">
      <c r="C17" s="347" t="str">
        <f>"   Determine R  ( cost of long term debt, cost of preferred stock and equity percentage is from the Projected TCOS, lns "&amp;'KGPCo Projected TCOS'!B255&amp;" through"&amp;'KGPCo Projected TCOS'!B257&amp;")"</f>
        <v>   Determine R  ( cost of long term debt, cost of preferred stock and equity percentage is from the Projected TCOS, lns 162 through164)</v>
      </c>
      <c r="E17" s="348"/>
      <c r="F17" s="351"/>
      <c r="G17" s="348"/>
      <c r="H17" s="349"/>
      <c r="I17" s="349"/>
      <c r="J17" s="350"/>
    </row>
    <row r="18" spans="3:10" ht="12.75">
      <c r="C18" s="350"/>
      <c r="D18" s="354" t="s">
        <v>741</v>
      </c>
      <c r="E18" s="354" t="s">
        <v>740</v>
      </c>
      <c r="F18" s="355" t="s">
        <v>101</v>
      </c>
      <c r="G18" s="348"/>
      <c r="H18" s="349"/>
      <c r="I18" s="349"/>
      <c r="J18" s="350"/>
    </row>
    <row r="19" spans="3:15" ht="13.5" thickBot="1">
      <c r="C19" s="356" t="s">
        <v>105</v>
      </c>
      <c r="D19" s="849">
        <f>+'KGPCo Projected TCOS'!H255</f>
        <v>0.40442491000231373</v>
      </c>
      <c r="E19" s="357">
        <f>+'KGPCo Projected TCOS'!J255</f>
        <v>0.0452</v>
      </c>
      <c r="F19" s="582">
        <f>E19*D19</f>
        <v>0.01828000593210458</v>
      </c>
      <c r="G19" s="348"/>
      <c r="H19" s="349"/>
      <c r="I19" s="358"/>
      <c r="J19" s="359"/>
      <c r="K19" s="801"/>
      <c r="L19" s="801"/>
      <c r="M19" s="801"/>
      <c r="N19" s="801"/>
      <c r="O19" s="801"/>
    </row>
    <row r="20" spans="3:16" ht="12.75">
      <c r="C20" s="356" t="s">
        <v>106</v>
      </c>
      <c r="D20" s="849">
        <f>+'KGPCo Projected TCOS'!H256</f>
        <v>0</v>
      </c>
      <c r="E20" s="357">
        <f>+'KGPCo Projected TCOS'!J256</f>
        <v>0</v>
      </c>
      <c r="F20" s="582">
        <f>E20*D20</f>
        <v>0</v>
      </c>
      <c r="G20" s="360"/>
      <c r="H20" s="360"/>
      <c r="I20" s="361"/>
      <c r="J20" s="362"/>
      <c r="K20" s="1175" t="s">
        <v>352</v>
      </c>
      <c r="L20" s="1176"/>
      <c r="M20" s="1176"/>
      <c r="N20" s="1176"/>
      <c r="O20" s="1177"/>
      <c r="P20" s="362"/>
    </row>
    <row r="21" spans="3:16" ht="12.75">
      <c r="C21" s="363" t="s">
        <v>91</v>
      </c>
      <c r="D21" s="849">
        <f>+'KGPCo Projected TCOS'!H257</f>
        <v>0.5955750899976863</v>
      </c>
      <c r="E21" s="357">
        <f>+F16</f>
        <v>0.1149</v>
      </c>
      <c r="F21" s="583">
        <f>E21*D21</f>
        <v>0.06843157784073416</v>
      </c>
      <c r="G21" s="360"/>
      <c r="H21" s="360"/>
      <c r="I21" s="361"/>
      <c r="J21" s="362"/>
      <c r="K21" s="1178"/>
      <c r="L21" s="1179"/>
      <c r="M21" s="1179"/>
      <c r="N21" s="1179"/>
      <c r="O21" s="1180"/>
      <c r="P21" s="362"/>
    </row>
    <row r="22" spans="3:16" ht="12.75">
      <c r="C22" s="347"/>
      <c r="D22"/>
      <c r="E22" s="364" t="s">
        <v>108</v>
      </c>
      <c r="F22" s="582">
        <f>SUM(F19:F21)</f>
        <v>0.08671158377283873</v>
      </c>
      <c r="G22" s="360"/>
      <c r="H22" s="360"/>
      <c r="I22" s="361"/>
      <c r="J22" s="362"/>
      <c r="K22" s="802"/>
      <c r="L22" s="803"/>
      <c r="M22" s="804" t="s">
        <v>102</v>
      </c>
      <c r="N22" s="804" t="s">
        <v>103</v>
      </c>
      <c r="O22" s="805" t="s">
        <v>104</v>
      </c>
      <c r="P22" s="362"/>
    </row>
    <row r="23" spans="3:16" ht="12.75">
      <c r="C23" s="103"/>
      <c r="D23" s="365"/>
      <c r="E23" s="365"/>
      <c r="F23" s="360"/>
      <c r="G23" s="360"/>
      <c r="H23" s="360"/>
      <c r="I23" s="360"/>
      <c r="J23" s="366"/>
      <c r="K23" s="806"/>
      <c r="L23" s="807"/>
      <c r="M23" s="807"/>
      <c r="N23" s="807"/>
      <c r="O23" s="808"/>
      <c r="P23" s="366"/>
    </row>
    <row r="24" spans="3:16" ht="16.5" thickBot="1">
      <c r="C24" s="346" t="str">
        <f>"B.   Determine Return using 'R' with hypothetical "&amp;F15&amp;" basis point ROE increase for Identified Projects."</f>
        <v>B.   Determine Return using 'R' with hypothetical  basis point ROE increase for Identified Projects.</v>
      </c>
      <c r="D24" s="365"/>
      <c r="E24" s="365"/>
      <c r="F24" s="367"/>
      <c r="G24" s="360"/>
      <c r="H24" s="348"/>
      <c r="I24" s="360"/>
      <c r="J24" s="366"/>
      <c r="K24" s="809" t="s">
        <v>109</v>
      </c>
      <c r="L24" s="810">
        <f>+'KGPCo Historic TCOS'!O2</f>
        <v>2012</v>
      </c>
      <c r="M24" s="811">
        <f>+N87</f>
        <v>0</v>
      </c>
      <c r="N24" s="811">
        <f>+N88</f>
        <v>0</v>
      </c>
      <c r="O24" s="812">
        <f>+N24-M24</f>
        <v>0</v>
      </c>
      <c r="P24" s="366"/>
    </row>
    <row r="25" spans="3:16" ht="12.75">
      <c r="C25" s="350"/>
      <c r="D25" s="365"/>
      <c r="E25" s="365"/>
      <c r="F25" s="366"/>
      <c r="G25" s="366"/>
      <c r="H25" s="366"/>
      <c r="I25" s="366"/>
      <c r="J25" s="366"/>
      <c r="K25" s="813"/>
      <c r="L25" s="813"/>
      <c r="M25" s="813"/>
      <c r="N25" s="813"/>
      <c r="O25" s="813"/>
      <c r="P25" s="366"/>
    </row>
    <row r="26" spans="3:16" ht="12.75">
      <c r="C26" s="347" t="str">
        <f>"   Rate Base  (Projected TCOS, ln "&amp;'KGPCo Projected TCOS'!B128&amp;")"</f>
        <v>   Rate Base  (Projected TCOS, ln 78)</v>
      </c>
      <c r="D26" s="348"/>
      <c r="F26" s="369">
        <f>+'KGPCo Projected TCOS'!L128</f>
        <v>10863630.961477641</v>
      </c>
      <c r="G26" s="366"/>
      <c r="H26" s="366"/>
      <c r="I26" s="366"/>
      <c r="J26" s="366"/>
      <c r="K26" s="813"/>
      <c r="L26" s="813"/>
      <c r="M26" s="813"/>
      <c r="N26" s="813"/>
      <c r="O26" s="814"/>
      <c r="P26" s="366"/>
    </row>
    <row r="27" spans="3:16" ht="12.75">
      <c r="C27" s="350" t="s">
        <v>395</v>
      </c>
      <c r="D27" s="371"/>
      <c r="F27" s="582">
        <f>F22</f>
        <v>0.08671158377283873</v>
      </c>
      <c r="G27" s="366"/>
      <c r="H27" s="366"/>
      <c r="I27" s="366"/>
      <c r="J27" s="366"/>
      <c r="K27" s="366"/>
      <c r="L27" s="366"/>
      <c r="M27" s="366"/>
      <c r="N27" s="366"/>
      <c r="O27" s="366"/>
      <c r="P27" s="366"/>
    </row>
    <row r="28" spans="3:16" ht="12.75">
      <c r="C28" s="372" t="s">
        <v>110</v>
      </c>
      <c r="D28" s="372"/>
      <c r="F28" s="361">
        <f>F26*F27</f>
        <v>942002.646193373</v>
      </c>
      <c r="G28" s="366"/>
      <c r="H28" s="366"/>
      <c r="I28" s="362"/>
      <c r="J28" s="362"/>
      <c r="K28" s="362"/>
      <c r="L28" s="362"/>
      <c r="M28" s="362"/>
      <c r="N28" s="362"/>
      <c r="O28" s="366"/>
      <c r="P28" s="362"/>
    </row>
    <row r="29" spans="3:16" ht="12.75">
      <c r="C29" s="373"/>
      <c r="D29" s="349"/>
      <c r="E29" s="349"/>
      <c r="F29" s="366"/>
      <c r="G29" s="366"/>
      <c r="H29" s="366"/>
      <c r="I29" s="362"/>
      <c r="J29" s="362"/>
      <c r="K29" s="362"/>
      <c r="L29" s="362"/>
      <c r="M29" s="362"/>
      <c r="N29" s="362"/>
      <c r="O29" s="366"/>
      <c r="P29" s="362"/>
    </row>
    <row r="30" spans="3:16" ht="15.75">
      <c r="C30" s="346" t="str">
        <f>"C.   Determine Income Taxes using Return with hypothetical "&amp;F15&amp;" basis point ROE increase for Identified Projects."</f>
        <v>C.   Determine Income Taxes using Return with hypothetical  basis point ROE increase for Identified Projects.</v>
      </c>
      <c r="D30" s="374"/>
      <c r="E30" s="374"/>
      <c r="F30" s="375"/>
      <c r="G30" s="375"/>
      <c r="H30" s="375"/>
      <c r="I30" s="376"/>
      <c r="J30" s="376"/>
      <c r="K30" s="376"/>
      <c r="L30" s="376"/>
      <c r="M30" s="376"/>
      <c r="N30" s="376"/>
      <c r="O30" s="375"/>
      <c r="P30" s="376"/>
    </row>
    <row r="31" spans="3:16" ht="12.75">
      <c r="C31" s="347"/>
      <c r="D31" s="349"/>
      <c r="E31" s="349"/>
      <c r="F31" s="366"/>
      <c r="G31" s="366"/>
      <c r="H31" s="366"/>
      <c r="I31" s="362"/>
      <c r="J31" s="362"/>
      <c r="K31" s="362"/>
      <c r="L31" s="362"/>
      <c r="M31" s="362"/>
      <c r="N31" s="362"/>
      <c r="O31" s="366"/>
      <c r="P31" s="362"/>
    </row>
    <row r="32" spans="3:16" ht="12.75">
      <c r="C32" s="350" t="s">
        <v>112</v>
      </c>
      <c r="D32" s="364"/>
      <c r="F32" s="377">
        <f>F28</f>
        <v>942002.646193373</v>
      </c>
      <c r="G32" s="366"/>
      <c r="H32" s="366"/>
      <c r="I32" s="366"/>
      <c r="J32" s="366"/>
      <c r="K32" s="366"/>
      <c r="L32" s="366"/>
      <c r="M32" s="366"/>
      <c r="N32" s="366"/>
      <c r="O32" s="366"/>
      <c r="P32" s="366"/>
    </row>
    <row r="33" spans="3:16" ht="12.75">
      <c r="C33" s="347" t="str">
        <f>"   Effective Tax Rate  (Projected TCOS, ln "&amp;'KGPCo Projected TCOS'!B195&amp;")"</f>
        <v>   Effective Tax Rate  (Projected TCOS, ln 126)</v>
      </c>
      <c r="D33" s="378"/>
      <c r="F33" s="397">
        <f>+'KGPCo Projected TCOS'!G195</f>
        <v>0.5092124349322851</v>
      </c>
      <c r="G33" s="103"/>
      <c r="H33" s="379"/>
      <c r="I33" s="103"/>
      <c r="J33" s="368"/>
      <c r="K33" s="103"/>
      <c r="L33" s="103"/>
      <c r="M33" s="103"/>
      <c r="N33" s="103"/>
      <c r="O33" s="103"/>
      <c r="P33" s="368"/>
    </row>
    <row r="34" spans="3:16" ht="12.75">
      <c r="C34" s="373" t="s">
        <v>113</v>
      </c>
      <c r="D34" s="378"/>
      <c r="F34" s="380">
        <f>F32*F33</f>
        <v>479679.46118078334</v>
      </c>
      <c r="G34" s="103"/>
      <c r="H34" s="379"/>
      <c r="I34" s="103"/>
      <c r="J34" s="368"/>
      <c r="K34" s="103"/>
      <c r="L34" s="103"/>
      <c r="M34" s="103"/>
      <c r="N34" s="103"/>
      <c r="O34" s="103"/>
      <c r="P34" s="368"/>
    </row>
    <row r="35" spans="3:16" ht="15">
      <c r="C35" s="347" t="s">
        <v>157</v>
      </c>
      <c r="D35" s="72"/>
      <c r="F35" s="381">
        <f>+'KGPCo Projected TCOS'!L202</f>
        <v>0</v>
      </c>
      <c r="G35" s="72"/>
      <c r="H35" s="72"/>
      <c r="I35" s="72"/>
      <c r="J35" s="72"/>
      <c r="K35" s="72"/>
      <c r="L35" s="72"/>
      <c r="M35" s="72"/>
      <c r="N35" s="72"/>
      <c r="O35" s="41"/>
      <c r="P35" s="72"/>
    </row>
    <row r="36" spans="3:16" ht="15">
      <c r="C36" s="373" t="s">
        <v>117</v>
      </c>
      <c r="D36" s="72"/>
      <c r="F36" s="381">
        <f>F34+F35</f>
        <v>479679.46118078334</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44" t="s">
        <v>767</v>
      </c>
      <c r="C38" s="345"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5" t="str">
        <f>"basis point ROE increase."</f>
        <v>basis point ROE increase.</v>
      </c>
      <c r="D39" s="72"/>
      <c r="E39" s="72"/>
      <c r="F39" s="72"/>
      <c r="G39" s="72"/>
      <c r="H39" s="72"/>
      <c r="I39" s="72"/>
      <c r="J39" s="72"/>
      <c r="K39" s="72"/>
      <c r="L39" s="72"/>
      <c r="M39" s="72"/>
      <c r="N39" s="72"/>
      <c r="O39" s="130"/>
      <c r="P39" s="72"/>
    </row>
    <row r="40" spans="3:16" ht="12.75" customHeight="1">
      <c r="C40" s="345"/>
      <c r="D40" s="72"/>
      <c r="E40" s="72"/>
      <c r="F40" s="72"/>
      <c r="G40" s="72"/>
      <c r="H40" s="72"/>
      <c r="I40" s="72"/>
      <c r="J40" s="72"/>
      <c r="K40" s="72"/>
      <c r="L40" s="72"/>
      <c r="M40" s="72"/>
      <c r="N40" s="72"/>
      <c r="O40" s="130"/>
      <c r="P40" s="72"/>
    </row>
    <row r="41" spans="3:16" ht="15.75">
      <c r="C41" s="346" t="s">
        <v>370</v>
      </c>
      <c r="D41" s="72"/>
      <c r="E41" s="72"/>
      <c r="F41" s="71"/>
      <c r="G41" s="72"/>
      <c r="H41" s="72"/>
      <c r="I41" s="72"/>
      <c r="J41" s="72"/>
      <c r="K41" s="72"/>
      <c r="L41" s="72"/>
      <c r="M41" s="72"/>
      <c r="N41" s="72"/>
      <c r="O41" s="130"/>
      <c r="P41" s="72"/>
    </row>
    <row r="42" spans="2:16" ht="12.75">
      <c r="B42" s="103"/>
      <c r="C42" s="382"/>
      <c r="D42" s="383"/>
      <c r="E42" s="383"/>
      <c r="F42" s="383"/>
      <c r="G42" s="383"/>
      <c r="H42" s="383"/>
      <c r="I42" s="383"/>
      <c r="J42" s="383"/>
      <c r="K42" s="383"/>
      <c r="L42" s="383"/>
      <c r="M42" s="383"/>
      <c r="N42" s="383"/>
      <c r="O42" s="381"/>
      <c r="P42" s="383"/>
    </row>
    <row r="43" spans="2:16" ht="12.75" customHeight="1">
      <c r="B43" s="103"/>
      <c r="C43" s="347" t="str">
        <f>"   Annual Revenue Requirement  (Projected TCOS, ln "&amp;'KGPCo Projected TCOS'!B11&amp;")"</f>
        <v>   Annual Revenue Requirement  (Projected TCOS, ln 1)</v>
      </c>
      <c r="D43" s="383"/>
      <c r="E43" s="383"/>
      <c r="G43" s="381">
        <f>+'KGPCo Projected TCOS'!L11</f>
        <v>2904010.0193198584</v>
      </c>
      <c r="H43" s="383"/>
      <c r="I43" s="383"/>
      <c r="J43" s="383"/>
      <c r="K43" s="383"/>
      <c r="L43" s="383"/>
      <c r="M43" s="383"/>
      <c r="N43" s="383"/>
      <c r="O43" s="381"/>
      <c r="P43" s="383"/>
    </row>
    <row r="44" spans="2:16" ht="12.75" customHeight="1">
      <c r="B44" s="103"/>
      <c r="C44" s="347" t="str">
        <f>"   T.E.A. &amp; Lease Payments (Projected TCOS, Lns "&amp;'KGPCo Projected TCOS'!B171&amp;" &amp; "&amp;'KGPCo Projected TCOS'!B172&amp;")"</f>
        <v>   T.E.A. &amp; Lease Payments (Projected TCOS, Lns 105 &amp; 106)</v>
      </c>
      <c r="D44" s="383"/>
      <c r="E44" s="383"/>
      <c r="G44" s="381">
        <f>+'KGPCo Projected TCOS'!L171+'KGPCo Projected TCOS'!L172</f>
        <v>0</v>
      </c>
      <c r="H44" s="383"/>
      <c r="I44" s="383"/>
      <c r="J44" s="383"/>
      <c r="K44" s="383"/>
      <c r="L44" s="383"/>
      <c r="M44" s="383"/>
      <c r="N44" s="383"/>
      <c r="O44" s="381"/>
      <c r="P44" s="383"/>
    </row>
    <row r="45" spans="2:16" ht="12.75">
      <c r="B45" s="103"/>
      <c r="C45" s="347" t="str">
        <f>"   Return  (Projected TCOS, ln "&amp;'KGPCo Projected TCOS'!B205&amp;")"</f>
        <v>   Return  (Projected TCOS, ln 134)</v>
      </c>
      <c r="D45" s="383"/>
      <c r="E45" s="383"/>
      <c r="G45" s="384">
        <f>+'KGPCo Projected TCOS'!L205</f>
        <v>942002.646193373</v>
      </c>
      <c r="H45" s="385"/>
      <c r="I45" s="385"/>
      <c r="J45" s="385"/>
      <c r="K45" s="385"/>
      <c r="L45" s="385"/>
      <c r="M45" s="385"/>
      <c r="N45" s="385"/>
      <c r="O45" s="381"/>
      <c r="P45" s="385"/>
    </row>
    <row r="46" spans="2:16" ht="12.75">
      <c r="B46" s="103"/>
      <c r="C46" s="347" t="str">
        <f>"   Income Taxes  (Projected TCOS, ln "&amp;'KGPCo Projected TCOS'!B203&amp;")"</f>
        <v>   Income Taxes  (Projected TCOS, ln 133)</v>
      </c>
      <c r="D46" s="383"/>
      <c r="E46" s="383"/>
      <c r="G46" s="386">
        <f>+'KGPCo Projected TCOS'!L203</f>
        <v>479679.46118078334</v>
      </c>
      <c r="H46" s="383"/>
      <c r="I46" s="387"/>
      <c r="J46" s="387"/>
      <c r="K46" s="387"/>
      <c r="L46" s="387"/>
      <c r="M46" s="387"/>
      <c r="N46" s="387"/>
      <c r="O46" s="383"/>
      <c r="P46" s="387"/>
    </row>
    <row r="47" spans="2:16" ht="12.75">
      <c r="B47" s="103"/>
      <c r="C47" s="105" t="s">
        <v>369</v>
      </c>
      <c r="D47" s="383"/>
      <c r="E47" s="383"/>
      <c r="G47" s="384">
        <f>G43-G45-G46-G44</f>
        <v>1482327.911945702</v>
      </c>
      <c r="H47" s="383"/>
      <c r="I47" s="388"/>
      <c r="J47" s="388"/>
      <c r="K47" s="388"/>
      <c r="L47" s="388"/>
      <c r="M47" s="388"/>
      <c r="N47" s="388"/>
      <c r="O47" s="388"/>
      <c r="P47" s="388"/>
    </row>
    <row r="48" spans="2:16" ht="12.75">
      <c r="B48" s="103"/>
      <c r="C48" s="382"/>
      <c r="D48" s="383"/>
      <c r="E48" s="383"/>
      <c r="F48" s="381"/>
      <c r="G48" s="389"/>
      <c r="H48" s="390"/>
      <c r="I48" s="390"/>
      <c r="J48" s="390"/>
      <c r="K48" s="390"/>
      <c r="L48" s="390"/>
      <c r="M48" s="390"/>
      <c r="N48" s="390"/>
      <c r="O48" s="390"/>
      <c r="P48" s="390"/>
    </row>
    <row r="49" spans="2:16" ht="15.75">
      <c r="B49" s="103"/>
      <c r="C49" s="346" t="str">
        <f>"B.   Determine Annual Revenue Requirement with hypothetical "&amp;F15&amp;" basis point increase in ROE."</f>
        <v>B.   Determine Annual Revenue Requirement with hypothetical  basis point increase in ROE.</v>
      </c>
      <c r="D49" s="391"/>
      <c r="E49" s="391"/>
      <c r="F49" s="381"/>
      <c r="G49" s="389"/>
      <c r="H49" s="390"/>
      <c r="I49" s="390"/>
      <c r="J49" s="390"/>
      <c r="K49" s="390"/>
      <c r="L49" s="390"/>
      <c r="M49" s="390"/>
      <c r="N49" s="390"/>
      <c r="O49" s="390"/>
      <c r="P49" s="390"/>
    </row>
    <row r="50" spans="2:16" ht="12.75">
      <c r="B50" s="103"/>
      <c r="C50" s="382"/>
      <c r="D50" s="391"/>
      <c r="E50" s="391"/>
      <c r="F50" s="381"/>
      <c r="G50" s="389"/>
      <c r="H50" s="390"/>
      <c r="I50" s="390"/>
      <c r="J50" s="390"/>
      <c r="K50" s="390"/>
      <c r="L50" s="390"/>
      <c r="M50" s="390"/>
      <c r="N50" s="390"/>
      <c r="O50" s="390"/>
      <c r="P50" s="390"/>
    </row>
    <row r="51" spans="2:16" ht="12.75">
      <c r="B51" s="103"/>
      <c r="C51" s="382" t="str">
        <f>C47</f>
        <v>   Annual Revenue Requirement, Less TEA Charges, Return and Taxes</v>
      </c>
      <c r="D51" s="391"/>
      <c r="E51" s="391"/>
      <c r="G51" s="381">
        <f>G47</f>
        <v>1482327.911945702</v>
      </c>
      <c r="H51" s="383"/>
      <c r="I51" s="383"/>
      <c r="J51" s="383"/>
      <c r="K51" s="383"/>
      <c r="L51" s="383"/>
      <c r="M51" s="383"/>
      <c r="N51" s="383"/>
      <c r="O51" s="392"/>
      <c r="P51" s="383"/>
    </row>
    <row r="52" spans="2:16" ht="12.75">
      <c r="B52" s="103"/>
      <c r="C52" s="350" t="s">
        <v>152</v>
      </c>
      <c r="D52" s="393"/>
      <c r="E52" s="105"/>
      <c r="G52" s="394">
        <f>F28</f>
        <v>942002.646193373</v>
      </c>
      <c r="H52" s="395"/>
      <c r="I52" s="105"/>
      <c r="J52" s="105"/>
      <c r="K52" s="105"/>
      <c r="L52" s="105"/>
      <c r="M52" s="105"/>
      <c r="N52" s="105"/>
      <c r="O52" s="105"/>
      <c r="P52" s="105"/>
    </row>
    <row r="53" spans="2:16" ht="12.75" customHeight="1">
      <c r="B53" s="103"/>
      <c r="C53" s="347" t="s">
        <v>118</v>
      </c>
      <c r="D53" s="383"/>
      <c r="E53" s="383"/>
      <c r="G53" s="386">
        <f>F36</f>
        <v>479679.46118078334</v>
      </c>
      <c r="H53" s="379"/>
      <c r="I53" s="103"/>
      <c r="J53" s="368"/>
      <c r="K53" s="103"/>
      <c r="L53" s="103"/>
      <c r="M53" s="103"/>
      <c r="N53" s="103"/>
      <c r="O53" s="103"/>
      <c r="P53" s="368"/>
    </row>
    <row r="54" spans="2:16" ht="12.75">
      <c r="B54" s="103"/>
      <c r="C54" s="105" t="str">
        <f>"   Annual Revenue Requirement, with "&amp;F15&amp;" Basis Point ROE increase"</f>
        <v>   Annual Revenue Requirement, with  Basis Point ROE increase</v>
      </c>
      <c r="D54" s="378"/>
      <c r="E54" s="103"/>
      <c r="G54" s="380">
        <f>SUM(G51:G53)</f>
        <v>2904010.0193198584</v>
      </c>
      <c r="H54" s="379"/>
      <c r="I54" s="103"/>
      <c r="J54" s="368"/>
      <c r="K54" s="103"/>
      <c r="L54" s="103"/>
      <c r="M54" s="103"/>
      <c r="N54" s="103"/>
      <c r="O54" s="103"/>
      <c r="P54" s="368"/>
    </row>
    <row r="55" spans="2:16" ht="12.75">
      <c r="B55" s="103"/>
      <c r="C55" s="347" t="str">
        <f>"   Depreciation  (Projected TCOS, ln "&amp;'KGPCo Projected TCOS'!B178&amp;")"</f>
        <v>   Depreciation  (Projected TCOS, ln 111)</v>
      </c>
      <c r="D55" s="378"/>
      <c r="E55" s="103"/>
      <c r="G55" s="396">
        <f>+'KGPCo Projected TCOS'!L178</f>
        <v>487251</v>
      </c>
      <c r="H55" s="379"/>
      <c r="I55" s="103"/>
      <c r="J55" s="368"/>
      <c r="K55" s="103"/>
      <c r="L55" s="103"/>
      <c r="M55" s="103"/>
      <c r="N55" s="103"/>
      <c r="O55" s="103"/>
      <c r="P55" s="368"/>
    </row>
    <row r="56" spans="2:16" ht="12.75">
      <c r="B56" s="103"/>
      <c r="C56" s="105" t="str">
        <f>"   Annual Rev. Req, w/"&amp;F15&amp;" Basis Point ROE increase, less Depreciation"</f>
        <v>   Annual Rev. Req, w/ Basis Point ROE increase, less Depreciation</v>
      </c>
      <c r="D56" s="378"/>
      <c r="E56" s="103"/>
      <c r="G56" s="380">
        <f>G54-G55</f>
        <v>2416759.0193198584</v>
      </c>
      <c r="H56" s="379"/>
      <c r="I56" s="103"/>
      <c r="J56" s="368"/>
      <c r="K56" s="103"/>
      <c r="L56" s="103"/>
      <c r="M56" s="103"/>
      <c r="N56" s="103"/>
      <c r="O56" s="103"/>
      <c r="P56" s="368"/>
    </row>
    <row r="57" spans="2:16" ht="12.75">
      <c r="B57" s="103"/>
      <c r="C57" s="103"/>
      <c r="D57" s="378"/>
      <c r="E57" s="103"/>
      <c r="F57" s="103"/>
      <c r="G57" s="103"/>
      <c r="H57" s="379"/>
      <c r="I57" s="103"/>
      <c r="J57" s="368"/>
      <c r="K57" s="103"/>
      <c r="L57" s="103"/>
      <c r="M57" s="103"/>
      <c r="N57" s="103"/>
      <c r="O57" s="103"/>
      <c r="P57" s="368"/>
    </row>
    <row r="58" spans="2:16" ht="15.75">
      <c r="B58" s="103"/>
      <c r="C58" s="346" t="str">
        <f>"C.   Determine FCR with hypothetical "&amp;F15&amp;" basis point ROE increase."</f>
        <v>C.   Determine FCR with hypothetical  basis point ROE increase.</v>
      </c>
      <c r="D58" s="378"/>
      <c r="E58" s="103"/>
      <c r="F58" s="103"/>
      <c r="G58" s="103"/>
      <c r="H58" s="379"/>
      <c r="I58" s="103"/>
      <c r="J58" s="368"/>
      <c r="K58" s="103"/>
      <c r="L58" s="103"/>
      <c r="M58" s="103"/>
      <c r="N58" s="103"/>
      <c r="O58" s="103"/>
      <c r="P58" s="368"/>
    </row>
    <row r="59" spans="2:16" ht="12.75">
      <c r="B59" s="103"/>
      <c r="C59" s="103"/>
      <c r="D59" s="378"/>
      <c r="E59" s="103"/>
      <c r="F59" s="103"/>
      <c r="G59" s="103"/>
      <c r="H59" s="379"/>
      <c r="I59" s="103"/>
      <c r="J59" s="368"/>
      <c r="K59" s="103"/>
      <c r="L59" s="103"/>
      <c r="M59" s="103"/>
      <c r="N59" s="103"/>
      <c r="O59" s="103"/>
      <c r="P59" s="368"/>
    </row>
    <row r="60" spans="2:16" ht="12.75">
      <c r="B60" s="103"/>
      <c r="C60" s="347" t="str">
        <f>"   Net Transmission Plant  (Projected TCOS, ln "&amp;'KGPCo Projected TCOS'!B91&amp;")"</f>
        <v>   Net Transmission Plant  (Projected TCOS, ln 48)</v>
      </c>
      <c r="D60" s="378"/>
      <c r="E60" s="103"/>
      <c r="G60" s="380">
        <f>+'KGPCo Projected TCOS'!L91</f>
        <v>10059970</v>
      </c>
      <c r="H60" s="686"/>
      <c r="I60" s="103"/>
      <c r="J60" s="368"/>
      <c r="K60" s="103"/>
      <c r="L60" s="103"/>
      <c r="M60" s="103"/>
      <c r="N60" s="103"/>
      <c r="O60" s="103"/>
      <c r="P60" s="368"/>
    </row>
    <row r="61" spans="2:16" ht="12.75">
      <c r="B61" s="103"/>
      <c r="C61" s="105" t="str">
        <f>"   Annual Revenue Requirement, with "&amp;F15&amp;" Basis Point ROE increase"</f>
        <v>   Annual Revenue Requirement, with  Basis Point ROE increase</v>
      </c>
      <c r="D61" s="378"/>
      <c r="E61" s="103"/>
      <c r="G61" s="380">
        <f>G54</f>
        <v>2904010.0193198584</v>
      </c>
      <c r="H61" s="379"/>
      <c r="I61" s="103"/>
      <c r="J61" s="368"/>
      <c r="K61" s="103"/>
      <c r="L61" s="103"/>
      <c r="M61" s="103"/>
      <c r="N61" s="103"/>
      <c r="O61" s="103"/>
      <c r="P61" s="368"/>
    </row>
    <row r="62" spans="2:16" ht="12.75">
      <c r="B62" s="103"/>
      <c r="C62" s="105" t="str">
        <f>"   FCR with "&amp;F15&amp;" Basis Point increase in ROE"</f>
        <v>   FCR with  Basis Point increase in ROE</v>
      </c>
      <c r="D62" s="378"/>
      <c r="E62" s="103"/>
      <c r="G62" s="397">
        <f>G61/G60</f>
        <v>0.2886698488484417</v>
      </c>
      <c r="H62" s="379"/>
      <c r="I62" s="103"/>
      <c r="J62" s="368"/>
      <c r="K62" s="103"/>
      <c r="L62" s="103"/>
      <c r="M62" s="103"/>
      <c r="N62" s="103"/>
      <c r="O62" s="103"/>
      <c r="P62" s="368"/>
    </row>
    <row r="63" spans="2:16" ht="12.75">
      <c r="B63" s="103"/>
      <c r="C63" s="764"/>
      <c r="D63" s="378"/>
      <c r="E63" s="103"/>
      <c r="G63" s="102"/>
      <c r="H63" s="379"/>
      <c r="I63" s="103"/>
      <c r="J63" s="368"/>
      <c r="K63" s="103"/>
      <c r="L63" s="103"/>
      <c r="M63" s="103"/>
      <c r="N63" s="103"/>
      <c r="O63" s="103"/>
      <c r="P63" s="368"/>
    </row>
    <row r="64" spans="2:16" ht="12.75">
      <c r="B64" s="103"/>
      <c r="C64" s="105" t="str">
        <f>"   Annual Rev. Req, w / "&amp;F15&amp;" Basis Point ROE increase, less Dep."</f>
        <v>   Annual Rev. Req, w /  Basis Point ROE increase, less Dep.</v>
      </c>
      <c r="D64" s="378"/>
      <c r="E64" s="103"/>
      <c r="G64" s="380">
        <f>G56</f>
        <v>2416759.0193198584</v>
      </c>
      <c r="H64" s="379"/>
      <c r="I64" s="103"/>
      <c r="J64" s="368"/>
      <c r="K64" s="103"/>
      <c r="L64" s="103"/>
      <c r="M64" s="103"/>
      <c r="N64" s="103"/>
      <c r="O64" s="103"/>
      <c r="P64" s="368"/>
    </row>
    <row r="65" spans="2:16" ht="12.75">
      <c r="B65" s="103"/>
      <c r="C65" s="105" t="str">
        <f>"   FCR with "&amp;F15&amp;" Basis Point ROE increase, less Depreciation"</f>
        <v>   FCR with  Basis Point ROE increase, less Depreciation</v>
      </c>
      <c r="D65" s="378"/>
      <c r="E65" s="103"/>
      <c r="G65" s="397">
        <f>G64/G60</f>
        <v>0.24023521136940354</v>
      </c>
      <c r="H65" s="379"/>
      <c r="I65" s="103"/>
      <c r="J65" s="368"/>
      <c r="K65" s="103"/>
      <c r="L65" s="103"/>
      <c r="M65" s="103"/>
      <c r="N65" s="103"/>
      <c r="O65" s="103"/>
      <c r="P65" s="368"/>
    </row>
    <row r="66" spans="2:16" ht="12.75">
      <c r="B66" s="103"/>
      <c r="C66" s="347" t="str">
        <f>"   FCR less Depreciation  (Projected TCOS, ln "&amp;'KGPCo Projected TCOS'!B27&amp;")"</f>
        <v>   FCR less Depreciation  (Projected TCOS, ln 9)</v>
      </c>
      <c r="D66" s="378"/>
      <c r="E66" s="103"/>
      <c r="G66" s="398">
        <f>+'KGPCo Projected TCOS'!L27</f>
        <v>0.1862778717853637</v>
      </c>
      <c r="H66" s="379"/>
      <c r="I66" s="103"/>
      <c r="J66" s="368"/>
      <c r="K66" s="103"/>
      <c r="L66" s="103"/>
      <c r="M66" s="103"/>
      <c r="N66" s="103"/>
      <c r="O66" s="103"/>
      <c r="P66" s="368"/>
    </row>
    <row r="67" spans="2:16" ht="12.75">
      <c r="B67" s="103"/>
      <c r="C67" s="105" t="str">
        <f>"   Incremental FCR with "&amp;F15&amp;" Basis Point ROE increase, less Depreciation"</f>
        <v>   Incremental FCR with  Basis Point ROE increase, less Depreciation</v>
      </c>
      <c r="D67" s="378"/>
      <c r="E67" s="103"/>
      <c r="G67" s="397">
        <f>G65-G66</f>
        <v>0.05395733958403984</v>
      </c>
      <c r="H67" s="379"/>
      <c r="I67" s="103"/>
      <c r="J67" s="368"/>
      <c r="K67" s="103"/>
      <c r="L67" s="103"/>
      <c r="M67" s="103"/>
      <c r="N67" s="103"/>
      <c r="O67" s="103"/>
      <c r="P67" s="368"/>
    </row>
    <row r="68" spans="2:16" ht="12.75">
      <c r="B68" s="103"/>
      <c r="C68" s="105"/>
      <c r="D68" s="378"/>
      <c r="E68" s="103"/>
      <c r="F68" s="397"/>
      <c r="G68" s="103"/>
      <c r="H68" s="379"/>
      <c r="I68" s="103"/>
      <c r="J68" s="368"/>
      <c r="K68" s="103"/>
      <c r="L68" s="103"/>
      <c r="M68" s="103"/>
      <c r="N68" s="103"/>
      <c r="O68" s="103"/>
      <c r="P68" s="368"/>
    </row>
    <row r="69" spans="2:16" ht="18.75">
      <c r="B69" s="344" t="s">
        <v>768</v>
      </c>
      <c r="C69" s="345" t="s">
        <v>119</v>
      </c>
      <c r="D69" s="378"/>
      <c r="E69" s="103"/>
      <c r="F69" s="397"/>
      <c r="G69" s="103"/>
      <c r="H69" s="379"/>
      <c r="I69" s="103"/>
      <c r="J69" s="368"/>
      <c r="K69" s="103"/>
      <c r="L69" s="103"/>
      <c r="M69" s="103"/>
      <c r="N69" s="103"/>
      <c r="O69" s="103"/>
      <c r="P69" s="368"/>
    </row>
    <row r="70" spans="2:16" ht="12.75">
      <c r="B70" s="103"/>
      <c r="C70" s="105"/>
      <c r="D70" s="378"/>
      <c r="E70" s="103"/>
      <c r="F70" s="397"/>
      <c r="G70" s="103"/>
      <c r="H70" s="379"/>
      <c r="I70" s="103"/>
      <c r="J70" s="368"/>
      <c r="K70" s="103"/>
      <c r="L70" s="103"/>
      <c r="M70" s="103"/>
      <c r="N70" s="103"/>
      <c r="O70" s="103"/>
      <c r="P70" s="368"/>
    </row>
    <row r="71" spans="2:16" ht="12.75">
      <c r="B71" s="103"/>
      <c r="C71" s="105" t="str">
        <f>"Transmission Plant @ Beginning of Historic Period ("&amp;'KGPCo Historic TCOS'!O1&amp;") (P.206, ln 58,(b)):"</f>
        <v>Transmission Plant @ Beginning of Historic Period (2011) (P.206, ln 58,(b)):</v>
      </c>
      <c r="D71" s="378"/>
      <c r="G71" s="509">
        <f>+'KGPCo WS A  - RB Support '!F18</f>
        <v>19006058</v>
      </c>
      <c r="I71" s="103"/>
      <c r="J71" s="368"/>
      <c r="K71" s="402"/>
      <c r="L71" s="103"/>
      <c r="M71" s="103"/>
      <c r="N71" s="103"/>
      <c r="O71" s="103"/>
      <c r="P71" s="368"/>
    </row>
    <row r="72" spans="2:16" ht="12.75">
      <c r="B72" s="103"/>
      <c r="C72" s="105" t="str">
        <f>"Transmission Plant @ End of Historic Period ("&amp;'KGPCo Historic TCOS'!O1&amp;") (P.207, ln 58,(g)):"</f>
        <v>Transmission Plant @ End of Historic Period (2011) (P.207, ln 58,(g)):</v>
      </c>
      <c r="D72" s="378"/>
      <c r="G72" s="545">
        <f>+'KGPCo WS A  - RB Support '!E18</f>
        <v>20264445</v>
      </c>
      <c r="I72" s="103"/>
      <c r="J72" s="368"/>
      <c r="L72" s="103"/>
      <c r="M72" s="103"/>
      <c r="N72" s="103"/>
      <c r="O72" s="103"/>
      <c r="P72" s="368"/>
    </row>
    <row r="73" spans="2:16" ht="12.75">
      <c r="B73" s="103"/>
      <c r="C73" s="105" t="s">
        <v>386</v>
      </c>
      <c r="D73" s="378"/>
      <c r="G73" s="379">
        <f>+G72+G71</f>
        <v>39270503</v>
      </c>
      <c r="I73" s="103"/>
      <c r="J73" s="368"/>
      <c r="L73" s="103"/>
      <c r="M73" s="103"/>
      <c r="N73" s="103"/>
      <c r="O73" s="103"/>
      <c r="P73" s="368"/>
    </row>
    <row r="74" spans="2:16" ht="12.75">
      <c r="B74" s="103"/>
      <c r="C74" s="105" t="str">
        <f>+"Average Transmission Plant Balance for "&amp;'KGPCo Historic TCOS'!O1&amp;""</f>
        <v>Average Transmission Plant Balance for 2011</v>
      </c>
      <c r="D74" s="378"/>
      <c r="G74" s="379">
        <f>+G73/2</f>
        <v>19635251.5</v>
      </c>
      <c r="I74" s="103"/>
      <c r="J74" s="368"/>
      <c r="K74" s="402"/>
      <c r="L74" s="103"/>
      <c r="M74" s="103"/>
      <c r="N74" s="103"/>
      <c r="O74" s="103"/>
      <c r="P74" s="368"/>
    </row>
    <row r="75" spans="2:16" ht="12.75">
      <c r="B75" s="103"/>
      <c r="C75" s="105" t="str">
        <f>"Annual Depreciation Rate (Projected TCOS, ln "&amp;'KGPCo Projected TCOS'!B178&amp;")"</f>
        <v>Annual Depreciation Rate (Projected TCOS, ln 111)</v>
      </c>
      <c r="D75" s="378"/>
      <c r="E75" s="103"/>
      <c r="G75" s="509">
        <f>+'KGPCo Projected TCOS'!G178</f>
        <v>487251</v>
      </c>
      <c r="H75" s="379"/>
      <c r="I75" s="103"/>
      <c r="J75" s="368"/>
      <c r="K75" s="103"/>
      <c r="L75" s="103"/>
      <c r="M75" s="103"/>
      <c r="N75" s="103"/>
      <c r="O75" s="103"/>
      <c r="P75" s="368"/>
    </row>
    <row r="76" spans="2:16" ht="12.75">
      <c r="B76" s="103"/>
      <c r="C76" s="105" t="s">
        <v>120</v>
      </c>
      <c r="D76" s="378"/>
      <c r="E76" s="103"/>
      <c r="G76" s="397">
        <f>+G75/G74</f>
        <v>0.024815113776362883</v>
      </c>
      <c r="H76" s="399"/>
      <c r="I76" s="103"/>
      <c r="J76" s="368"/>
      <c r="K76" s="103"/>
      <c r="L76" s="103"/>
      <c r="M76" s="103"/>
      <c r="N76" s="103"/>
      <c r="O76" s="103"/>
      <c r="P76" s="368"/>
    </row>
    <row r="77" spans="2:16" ht="12.75">
      <c r="B77" s="103"/>
      <c r="C77" s="105" t="s">
        <v>121</v>
      </c>
      <c r="D77" s="378"/>
      <c r="E77" s="103"/>
      <c r="G77" s="399">
        <f>1/G76</f>
        <v>40.29802196403907</v>
      </c>
      <c r="H77" s="379"/>
      <c r="I77" s="103"/>
      <c r="J77" s="368"/>
      <c r="K77" s="103"/>
      <c r="L77" s="103"/>
      <c r="M77" s="103"/>
      <c r="N77" s="103"/>
      <c r="O77" s="103"/>
      <c r="P77" s="368"/>
    </row>
    <row r="78" spans="2:16" ht="12.75">
      <c r="B78" s="103"/>
      <c r="C78" s="105" t="s">
        <v>122</v>
      </c>
      <c r="D78" s="378"/>
      <c r="E78" s="103"/>
      <c r="G78" s="400">
        <f>ROUND(G77,0)</f>
        <v>40</v>
      </c>
      <c r="H78" s="379"/>
      <c r="I78" s="103"/>
      <c r="J78" s="368"/>
      <c r="K78" s="103"/>
      <c r="L78" s="103"/>
      <c r="M78" s="103"/>
      <c r="N78" s="103"/>
      <c r="O78" s="103"/>
      <c r="P78" s="368"/>
    </row>
    <row r="79" spans="2:16" ht="12.75">
      <c r="B79" s="103"/>
      <c r="C79" s="105"/>
      <c r="D79" s="378"/>
      <c r="E79" s="103"/>
      <c r="G79" s="400"/>
      <c r="H79" s="379"/>
      <c r="I79" s="103"/>
      <c r="J79" s="368"/>
      <c r="K79" s="103"/>
      <c r="L79" s="103"/>
      <c r="M79" s="103"/>
      <c r="N79" s="103"/>
      <c r="O79" s="103"/>
      <c r="P79" s="368"/>
    </row>
    <row r="80" spans="3:16" ht="12.75">
      <c r="C80" s="438"/>
      <c r="D80" s="423"/>
      <c r="E80" s="423"/>
      <c r="F80" s="423"/>
      <c r="G80" s="402"/>
      <c r="H80" s="402"/>
      <c r="I80" s="434"/>
      <c r="J80" s="434"/>
      <c r="K80" s="434"/>
      <c r="L80" s="434"/>
      <c r="M80" s="434"/>
      <c r="N80" s="434"/>
      <c r="O80" s="103"/>
      <c r="P80" s="434"/>
    </row>
    <row r="81" spans="1:16" ht="20.25">
      <c r="A81" s="339" t="s">
        <v>894</v>
      </c>
      <c r="B81" s="103"/>
      <c r="C81" s="105"/>
      <c r="D81" s="378"/>
      <c r="E81" s="103"/>
      <c r="F81" s="397"/>
      <c r="G81" s="103"/>
      <c r="H81" s="379"/>
      <c r="K81" s="134"/>
      <c r="L81" s="134"/>
      <c r="M81" s="134"/>
      <c r="N81" s="643" t="str">
        <f>"Page "&amp;SUM(P$6:P81)&amp;" of "</f>
        <v>Page 2 of </v>
      </c>
      <c r="O81" s="644">
        <f>COUNT(P$6:P$59671)</f>
        <v>2</v>
      </c>
      <c r="P81" s="401">
        <v>1</v>
      </c>
    </row>
    <row r="82" spans="2:16" ht="12.75">
      <c r="B82" s="103"/>
      <c r="C82" s="103"/>
      <c r="D82" s="378"/>
      <c r="E82" s="103"/>
      <c r="F82" s="103"/>
      <c r="G82" s="103"/>
      <c r="H82" s="379"/>
      <c r="I82" s="103"/>
      <c r="J82" s="368"/>
      <c r="K82" s="103"/>
      <c r="L82" s="103"/>
      <c r="M82" s="103"/>
      <c r="N82" s="103"/>
      <c r="O82" s="103"/>
      <c r="P82" s="368"/>
    </row>
    <row r="83" spans="2:16" ht="18">
      <c r="B83" s="344" t="s">
        <v>769</v>
      </c>
      <c r="C83" s="439" t="s">
        <v>143</v>
      </c>
      <c r="D83" s="378"/>
      <c r="E83" s="103"/>
      <c r="F83" s="103"/>
      <c r="G83" s="103"/>
      <c r="H83" s="379"/>
      <c r="I83" s="379"/>
      <c r="J83" s="402"/>
      <c r="K83" s="379"/>
      <c r="L83" s="379"/>
      <c r="M83" s="379"/>
      <c r="N83" s="379"/>
      <c r="O83" s="103"/>
      <c r="P83" s="402"/>
    </row>
    <row r="84" spans="2:16" ht="18.75">
      <c r="B84" s="344"/>
      <c r="C84" s="345"/>
      <c r="D84" s="378"/>
      <c r="E84" s="103"/>
      <c r="F84" s="103"/>
      <c r="G84" s="103"/>
      <c r="H84" s="379"/>
      <c r="I84" s="379"/>
      <c r="J84" s="402"/>
      <c r="K84" s="379"/>
      <c r="L84" s="379"/>
      <c r="M84" s="379"/>
      <c r="N84" s="379"/>
      <c r="O84" s="103"/>
      <c r="P84" s="402"/>
    </row>
    <row r="85" spans="2:16" ht="18.75">
      <c r="B85" s="344"/>
      <c r="C85" s="345" t="s">
        <v>144</v>
      </c>
      <c r="D85" s="378"/>
      <c r="E85" s="103"/>
      <c r="F85" s="103"/>
      <c r="G85" s="103"/>
      <c r="H85" s="379"/>
      <c r="I85" s="379"/>
      <c r="J85" s="402"/>
      <c r="K85" s="379"/>
      <c r="L85" s="379"/>
      <c r="M85" s="379"/>
      <c r="N85" s="379"/>
      <c r="O85" s="103"/>
      <c r="P85" s="402"/>
    </row>
    <row r="86" spans="3:16" ht="15.75" thickBot="1">
      <c r="C86" s="61"/>
      <c r="D86" s="378"/>
      <c r="E86" s="103"/>
      <c r="F86" s="103"/>
      <c r="G86" s="103"/>
      <c r="H86" s="379"/>
      <c r="I86" s="379"/>
      <c r="J86" s="402"/>
      <c r="K86" s="379"/>
      <c r="L86" s="379"/>
      <c r="M86" s="379"/>
      <c r="N86" s="379"/>
      <c r="O86" s="103"/>
      <c r="P86" s="402"/>
    </row>
    <row r="87" spans="3:16" ht="15.75">
      <c r="C87" s="346" t="s">
        <v>145</v>
      </c>
      <c r="D87" s="378"/>
      <c r="E87" s="103"/>
      <c r="F87" s="103"/>
      <c r="G87" s="854"/>
      <c r="H87" s="103" t="s">
        <v>123</v>
      </c>
      <c r="I87" s="103"/>
      <c r="J87" s="368"/>
      <c r="K87" s="777" t="s">
        <v>149</v>
      </c>
      <c r="L87" s="778"/>
      <c r="M87" s="779"/>
      <c r="N87" s="780">
        <f>VLOOKUP(I93,C100:O159,5)</f>
        <v>0</v>
      </c>
      <c r="O87" s="103"/>
      <c r="P87" s="368"/>
    </row>
    <row r="88" spans="3:16" ht="15.75">
      <c r="C88" s="346"/>
      <c r="D88" s="378"/>
      <c r="E88" s="103"/>
      <c r="F88" s="103"/>
      <c r="G88" s="103"/>
      <c r="H88" s="403"/>
      <c r="I88" s="403"/>
      <c r="J88" s="404"/>
      <c r="K88" s="781" t="s">
        <v>150</v>
      </c>
      <c r="L88" s="782"/>
      <c r="M88" s="368"/>
      <c r="N88" s="783">
        <f>VLOOKUP(I93,C100:O159,6)</f>
        <v>0</v>
      </c>
      <c r="O88" s="103"/>
      <c r="P88" s="404"/>
    </row>
    <row r="89" spans="3:16" ht="13.5" thickBot="1">
      <c r="C89" s="1084" t="s">
        <v>146</v>
      </c>
      <c r="D89" s="861"/>
      <c r="E89" s="616"/>
      <c r="F89" s="616"/>
      <c r="G89" s="616"/>
      <c r="H89" s="379"/>
      <c r="I89" s="379"/>
      <c r="J89" s="402"/>
      <c r="K89" s="784" t="s">
        <v>351</v>
      </c>
      <c r="L89" s="785"/>
      <c r="M89" s="785"/>
      <c r="N89" s="432">
        <f>+N88-N87</f>
        <v>0</v>
      </c>
      <c r="O89" s="103"/>
      <c r="P89" s="402"/>
    </row>
    <row r="90" spans="3:16" ht="12.75">
      <c r="C90" s="405"/>
      <c r="D90" s="441"/>
      <c r="E90" s="400"/>
      <c r="F90" s="400"/>
      <c r="G90" s="408"/>
      <c r="H90" s="379"/>
      <c r="I90" s="379"/>
      <c r="J90" s="402"/>
      <c r="K90" s="379"/>
      <c r="L90" s="379"/>
      <c r="M90" s="379"/>
      <c r="N90" s="379"/>
      <c r="O90" s="103"/>
      <c r="P90" s="402"/>
    </row>
    <row r="91" spans="3:16" ht="13.5" thickBot="1">
      <c r="C91" s="406"/>
      <c r="D91" s="407"/>
      <c r="E91" s="408"/>
      <c r="F91" s="408"/>
      <c r="G91" s="408"/>
      <c r="H91" s="408"/>
      <c r="I91" s="408"/>
      <c r="J91" s="409"/>
      <c r="K91" s="408"/>
      <c r="L91" s="408"/>
      <c r="M91" s="408"/>
      <c r="N91" s="408"/>
      <c r="O91" s="102"/>
      <c r="P91" s="409"/>
    </row>
    <row r="92" spans="3:16" ht="13.5" thickBot="1">
      <c r="C92" s="442" t="s">
        <v>147</v>
      </c>
      <c r="D92" s="443"/>
      <c r="E92" s="443"/>
      <c r="F92" s="443"/>
      <c r="G92" s="443"/>
      <c r="H92" s="443"/>
      <c r="I92" s="747"/>
      <c r="J92" s="444"/>
      <c r="K92" s="103"/>
      <c r="L92" s="103"/>
      <c r="M92" s="103"/>
      <c r="N92" s="103"/>
      <c r="O92" s="786"/>
      <c r="P92" s="444"/>
    </row>
    <row r="93" spans="3:16" ht="15">
      <c r="C93" s="411" t="s">
        <v>124</v>
      </c>
      <c r="D93" s="856"/>
      <c r="E93" s="105" t="s">
        <v>125</v>
      </c>
      <c r="G93" s="410"/>
      <c r="H93" s="410"/>
      <c r="I93" s="853">
        <v>2008</v>
      </c>
      <c r="J93" s="104"/>
      <c r="K93" s="1174" t="s">
        <v>360</v>
      </c>
      <c r="L93" s="1174"/>
      <c r="M93" s="1174"/>
      <c r="N93" s="1174"/>
      <c r="O93" s="1174"/>
      <c r="P93" s="104"/>
    </row>
    <row r="94" spans="3:16" ht="12.75">
      <c r="C94" s="411" t="s">
        <v>127</v>
      </c>
      <c r="D94" s="857">
        <v>2008</v>
      </c>
      <c r="E94" s="411" t="s">
        <v>128</v>
      </c>
      <c r="F94" s="410"/>
      <c r="H94"/>
      <c r="I94" s="855">
        <f>IF(G87="",0,$F$15)</f>
        <v>0</v>
      </c>
      <c r="J94" s="297"/>
      <c r="K94" s="402" t="s">
        <v>360</v>
      </c>
      <c r="P94" s="297"/>
    </row>
    <row r="95" spans="3:16" ht="12.75">
      <c r="C95" s="411" t="s">
        <v>129</v>
      </c>
      <c r="D95" s="856">
        <v>1</v>
      </c>
      <c r="E95" s="411" t="s">
        <v>130</v>
      </c>
      <c r="F95" s="410"/>
      <c r="H95"/>
      <c r="I95" s="412">
        <f>$G$66</f>
        <v>0.1862778717853637</v>
      </c>
      <c r="J95" s="413"/>
      <c r="K95" t="str">
        <f>"          INPUT PROJECTED ARR (WITH &amp; WITHOUT INCENTIVES) FROM EACH PRIOR YEAR"</f>
        <v>          INPUT PROJECTED ARR (WITH &amp; WITHOUT INCENTIVES) FROM EACH PRIOR YEAR</v>
      </c>
      <c r="P95" s="413"/>
    </row>
    <row r="96" spans="3:16" ht="12.75">
      <c r="C96" s="411" t="s">
        <v>131</v>
      </c>
      <c r="D96" s="875">
        <f>G$78</f>
        <v>40</v>
      </c>
      <c r="E96" s="411" t="s">
        <v>132</v>
      </c>
      <c r="F96" s="410"/>
      <c r="H96"/>
      <c r="I96" s="412">
        <f>IF(G87="",I95,$G$65)</f>
        <v>0.1862778717853637</v>
      </c>
      <c r="J96" s="414"/>
      <c r="K96" t="s">
        <v>231</v>
      </c>
      <c r="P96" s="414"/>
    </row>
    <row r="97" spans="3:16" ht="13.5" thickBot="1">
      <c r="C97" s="411" t="s">
        <v>133</v>
      </c>
      <c r="D97" s="858" t="s">
        <v>134</v>
      </c>
      <c r="E97" s="445" t="s">
        <v>135</v>
      </c>
      <c r="F97" s="446"/>
      <c r="G97" s="331"/>
      <c r="H97" s="331"/>
      <c r="I97" s="432">
        <f>IF(D93=0,0,D93/D96)</f>
        <v>0</v>
      </c>
      <c r="J97" s="402"/>
      <c r="K97" s="402" t="s">
        <v>238</v>
      </c>
      <c r="L97" s="402"/>
      <c r="M97" s="402"/>
      <c r="N97" s="402"/>
      <c r="O97" s="368"/>
      <c r="P97" s="402"/>
    </row>
    <row r="98" spans="1:16" ht="51">
      <c r="A98" s="139"/>
      <c r="B98" s="139"/>
      <c r="C98" s="447" t="s">
        <v>124</v>
      </c>
      <c r="D98" s="448" t="s">
        <v>136</v>
      </c>
      <c r="E98" s="416" t="s">
        <v>137</v>
      </c>
      <c r="F98" s="448" t="s">
        <v>138</v>
      </c>
      <c r="G98" s="416" t="s">
        <v>230</v>
      </c>
      <c r="H98" s="449" t="s">
        <v>230</v>
      </c>
      <c r="I98" s="447" t="s">
        <v>148</v>
      </c>
      <c r="J98" s="450"/>
      <c r="K98" s="416" t="s">
        <v>240</v>
      </c>
      <c r="L98" s="911"/>
      <c r="M98" s="416" t="s">
        <v>240</v>
      </c>
      <c r="N98" s="911"/>
      <c r="O98" s="911"/>
      <c r="P98" s="451"/>
    </row>
    <row r="99" spans="3:16" ht="13.5" thickBot="1">
      <c r="C99" s="417" t="s">
        <v>772</v>
      </c>
      <c r="D99" s="452" t="s">
        <v>773</v>
      </c>
      <c r="E99" s="417" t="s">
        <v>660</v>
      </c>
      <c r="F99" s="452" t="s">
        <v>773</v>
      </c>
      <c r="G99" s="421" t="s">
        <v>151</v>
      </c>
      <c r="H99" s="418" t="s">
        <v>154</v>
      </c>
      <c r="I99" s="419" t="s">
        <v>75</v>
      </c>
      <c r="J99" s="420"/>
      <c r="K99" s="421" t="s">
        <v>140</v>
      </c>
      <c r="L99" s="912"/>
      <c r="M99" s="421" t="s">
        <v>154</v>
      </c>
      <c r="N99" s="912"/>
      <c r="O99" s="912"/>
      <c r="P99" s="104"/>
    </row>
    <row r="100" spans="3:16" ht="12.75">
      <c r="C100" s="422">
        <f>IF(D94="","-",D94)</f>
        <v>2008</v>
      </c>
      <c r="D100" s="423">
        <f>+D93</f>
        <v>0</v>
      </c>
      <c r="E100" s="426">
        <f>+I97/12*(12-D95)</f>
        <v>0</v>
      </c>
      <c r="F100" s="423">
        <f aca="true" t="shared" si="0" ref="F100:F131">+D100-E100</f>
        <v>0</v>
      </c>
      <c r="G100" s="1043">
        <f>+I95*F100+E100</f>
        <v>0</v>
      </c>
      <c r="H100" s="1044">
        <f>I96*F100+E100</f>
        <v>0</v>
      </c>
      <c r="I100" s="427">
        <f>+H100-G100</f>
        <v>0</v>
      </c>
      <c r="J100" s="427"/>
      <c r="K100" s="850"/>
      <c r="L100" s="908"/>
      <c r="M100" s="850"/>
      <c r="N100" s="908"/>
      <c r="O100" s="908"/>
      <c r="P100" s="434"/>
    </row>
    <row r="101" spans="3:16" ht="12.75">
      <c r="C101" s="422">
        <f>IF(D94="","-",+C100+1)</f>
        <v>2009</v>
      </c>
      <c r="D101" s="423">
        <f aca="true" t="shared" si="1" ref="D101:D132">F100</f>
        <v>0</v>
      </c>
      <c r="E101" s="425">
        <f>IF(D101&gt;$I$97,$I$97,D101)</f>
        <v>0</v>
      </c>
      <c r="F101" s="423">
        <f t="shared" si="0"/>
        <v>0</v>
      </c>
      <c r="G101" s="426">
        <f>+I95*F101+E101</f>
        <v>0</v>
      </c>
      <c r="H101" s="415">
        <f>I96*F101+E101</f>
        <v>0</v>
      </c>
      <c r="I101" s="427">
        <f aca="true" t="shared" si="2" ref="I101:I159">+H101-G101</f>
        <v>0</v>
      </c>
      <c r="J101" s="427"/>
      <c r="K101" s="851"/>
      <c r="L101" s="909"/>
      <c r="M101" s="851"/>
      <c r="N101" s="909"/>
      <c r="O101" s="909"/>
      <c r="P101" s="434"/>
    </row>
    <row r="102" spans="3:16" ht="12.75">
      <c r="C102" s="422">
        <f>IF(D94="","-",+C101+1)</f>
        <v>2010</v>
      </c>
      <c r="D102" s="423">
        <f t="shared" si="1"/>
        <v>0</v>
      </c>
      <c r="E102" s="425">
        <f aca="true" t="shared" si="3" ref="E102:E159">IF(D102&gt;$I$97,$I$97,D102)</f>
        <v>0</v>
      </c>
      <c r="F102" s="423">
        <f t="shared" si="0"/>
        <v>0</v>
      </c>
      <c r="G102" s="426">
        <f>+I95*F102+E102</f>
        <v>0</v>
      </c>
      <c r="H102" s="415">
        <f>I96*F102+E102</f>
        <v>0</v>
      </c>
      <c r="I102" s="427">
        <f t="shared" si="2"/>
        <v>0</v>
      </c>
      <c r="J102" s="427"/>
      <c r="K102" s="851"/>
      <c r="L102" s="909"/>
      <c r="M102" s="851"/>
      <c r="N102" s="909"/>
      <c r="O102" s="909"/>
      <c r="P102" s="434"/>
    </row>
    <row r="103" spans="3:16" ht="12.75">
      <c r="C103" s="422">
        <f>IF(D94="","-",+C102+1)</f>
        <v>2011</v>
      </c>
      <c r="D103" s="423">
        <f t="shared" si="1"/>
        <v>0</v>
      </c>
      <c r="E103" s="425">
        <f t="shared" si="3"/>
        <v>0</v>
      </c>
      <c r="F103" s="423">
        <f t="shared" si="0"/>
        <v>0</v>
      </c>
      <c r="G103" s="426">
        <f>+I95*F103+E103</f>
        <v>0</v>
      </c>
      <c r="H103" s="415">
        <f>I96*F103+E103</f>
        <v>0</v>
      </c>
      <c r="I103" s="427">
        <f t="shared" si="2"/>
        <v>0</v>
      </c>
      <c r="J103" s="427"/>
      <c r="K103" s="851"/>
      <c r="L103" s="909"/>
      <c r="M103" s="851"/>
      <c r="N103" s="909"/>
      <c r="O103" s="909"/>
      <c r="P103" s="434"/>
    </row>
    <row r="104" spans="3:16" ht="12.75">
      <c r="C104" s="422">
        <f>IF(D94="","-",+C103+1)</f>
        <v>2012</v>
      </c>
      <c r="D104" s="423">
        <f t="shared" si="1"/>
        <v>0</v>
      </c>
      <c r="E104" s="425">
        <f t="shared" si="3"/>
        <v>0</v>
      </c>
      <c r="F104" s="423">
        <f t="shared" si="0"/>
        <v>0</v>
      </c>
      <c r="G104" s="426">
        <f>+I95*F104+E104</f>
        <v>0</v>
      </c>
      <c r="H104" s="415">
        <f>I96*F104+E104</f>
        <v>0</v>
      </c>
      <c r="I104" s="427">
        <f t="shared" si="2"/>
        <v>0</v>
      </c>
      <c r="J104" s="427"/>
      <c r="K104" s="851"/>
      <c r="L104" s="909"/>
      <c r="M104" s="851"/>
      <c r="N104" s="909"/>
      <c r="O104" s="909"/>
      <c r="P104" s="434"/>
    </row>
    <row r="105" spans="3:16" ht="12.75">
      <c r="C105" s="422">
        <f>IF(D94="","-",+C104+1)</f>
        <v>2013</v>
      </c>
      <c r="D105" s="423">
        <f t="shared" si="1"/>
        <v>0</v>
      </c>
      <c r="E105" s="425">
        <f t="shared" si="3"/>
        <v>0</v>
      </c>
      <c r="F105" s="423">
        <f t="shared" si="0"/>
        <v>0</v>
      </c>
      <c r="G105" s="426">
        <f>+I95*F105+E105</f>
        <v>0</v>
      </c>
      <c r="H105" s="415">
        <f>I96*F105+E105</f>
        <v>0</v>
      </c>
      <c r="I105" s="427">
        <f t="shared" si="2"/>
        <v>0</v>
      </c>
      <c r="J105" s="427"/>
      <c r="K105" s="851"/>
      <c r="L105" s="909"/>
      <c r="M105" s="851"/>
      <c r="N105" s="909"/>
      <c r="O105" s="909"/>
      <c r="P105" s="434"/>
    </row>
    <row r="106" spans="3:16" ht="12.75">
      <c r="C106" s="422">
        <f>IF(D94="","-",+C105+1)</f>
        <v>2014</v>
      </c>
      <c r="D106" s="423">
        <f t="shared" si="1"/>
        <v>0</v>
      </c>
      <c r="E106" s="425">
        <f t="shared" si="3"/>
        <v>0</v>
      </c>
      <c r="F106" s="423">
        <f t="shared" si="0"/>
        <v>0</v>
      </c>
      <c r="G106" s="426">
        <f>+I95*F106+E106</f>
        <v>0</v>
      </c>
      <c r="H106" s="415">
        <f>I96*F106+E106</f>
        <v>0</v>
      </c>
      <c r="I106" s="427">
        <f t="shared" si="2"/>
        <v>0</v>
      </c>
      <c r="J106" s="427"/>
      <c r="K106" s="851"/>
      <c r="L106" s="909"/>
      <c r="M106" s="851"/>
      <c r="N106" s="909"/>
      <c r="O106" s="909"/>
      <c r="P106" s="434"/>
    </row>
    <row r="107" spans="3:16" ht="12.75">
      <c r="C107" s="422">
        <f>IF(D94="","-",+C106+1)</f>
        <v>2015</v>
      </c>
      <c r="D107" s="423">
        <f t="shared" si="1"/>
        <v>0</v>
      </c>
      <c r="E107" s="425">
        <f t="shared" si="3"/>
        <v>0</v>
      </c>
      <c r="F107" s="423">
        <f t="shared" si="0"/>
        <v>0</v>
      </c>
      <c r="G107" s="426">
        <f>+I95*F107+E107</f>
        <v>0</v>
      </c>
      <c r="H107" s="415">
        <f>I96*F107+E107</f>
        <v>0</v>
      </c>
      <c r="I107" s="427">
        <f t="shared" si="2"/>
        <v>0</v>
      </c>
      <c r="J107" s="427"/>
      <c r="K107" s="851"/>
      <c r="L107" s="909"/>
      <c r="M107" s="851"/>
      <c r="N107" s="909"/>
      <c r="O107" s="909"/>
      <c r="P107" s="434"/>
    </row>
    <row r="108" spans="3:16" ht="12.75">
      <c r="C108" s="422">
        <f>IF(D94="","-",+C107+1)</f>
        <v>2016</v>
      </c>
      <c r="D108" s="423">
        <f t="shared" si="1"/>
        <v>0</v>
      </c>
      <c r="E108" s="425">
        <f t="shared" si="3"/>
        <v>0</v>
      </c>
      <c r="F108" s="423">
        <f t="shared" si="0"/>
        <v>0</v>
      </c>
      <c r="G108" s="426">
        <f>+I95*F108+E108</f>
        <v>0</v>
      </c>
      <c r="H108" s="415">
        <f>I96*F108+E108</f>
        <v>0</v>
      </c>
      <c r="I108" s="427">
        <f t="shared" si="2"/>
        <v>0</v>
      </c>
      <c r="J108" s="427"/>
      <c r="K108" s="851"/>
      <c r="L108" s="909"/>
      <c r="M108" s="851"/>
      <c r="N108" s="909"/>
      <c r="O108" s="909"/>
      <c r="P108" s="434"/>
    </row>
    <row r="109" spans="3:16" ht="12.75">
      <c r="C109" s="422">
        <f>IF(D94="","-",+C108+1)</f>
        <v>2017</v>
      </c>
      <c r="D109" s="423">
        <f t="shared" si="1"/>
        <v>0</v>
      </c>
      <c r="E109" s="425">
        <f t="shared" si="3"/>
        <v>0</v>
      </c>
      <c r="F109" s="423">
        <f t="shared" si="0"/>
        <v>0</v>
      </c>
      <c r="G109" s="426">
        <f>+I95*F109+E109</f>
        <v>0</v>
      </c>
      <c r="H109" s="415">
        <f>I96*F109+E109</f>
        <v>0</v>
      </c>
      <c r="I109" s="427">
        <f t="shared" si="2"/>
        <v>0</v>
      </c>
      <c r="J109" s="427"/>
      <c r="K109" s="851"/>
      <c r="L109" s="909"/>
      <c r="M109" s="851"/>
      <c r="N109" s="909"/>
      <c r="O109" s="909"/>
      <c r="P109" s="434"/>
    </row>
    <row r="110" spans="3:16" ht="12.75">
      <c r="C110" s="422">
        <f>IF(D94="","-",+C109+1)</f>
        <v>2018</v>
      </c>
      <c r="D110" s="423">
        <f t="shared" si="1"/>
        <v>0</v>
      </c>
      <c r="E110" s="425">
        <f t="shared" si="3"/>
        <v>0</v>
      </c>
      <c r="F110" s="423">
        <f t="shared" si="0"/>
        <v>0</v>
      </c>
      <c r="G110" s="426">
        <f>+I95*F110+E110</f>
        <v>0</v>
      </c>
      <c r="H110" s="415">
        <f>I96*F110+E110</f>
        <v>0</v>
      </c>
      <c r="I110" s="427">
        <f t="shared" si="2"/>
        <v>0</v>
      </c>
      <c r="J110" s="427"/>
      <c r="K110" s="851"/>
      <c r="L110" s="909"/>
      <c r="M110" s="851"/>
      <c r="N110" s="909"/>
      <c r="O110" s="909"/>
      <c r="P110" s="434"/>
    </row>
    <row r="111" spans="3:16" ht="12.75">
      <c r="C111" s="422">
        <f>IF(D94="","-",+C110+1)</f>
        <v>2019</v>
      </c>
      <c r="D111" s="423">
        <f t="shared" si="1"/>
        <v>0</v>
      </c>
      <c r="E111" s="425">
        <f t="shared" si="3"/>
        <v>0</v>
      </c>
      <c r="F111" s="423">
        <f t="shared" si="0"/>
        <v>0</v>
      </c>
      <c r="G111" s="426">
        <f>+I95*F111+E111</f>
        <v>0</v>
      </c>
      <c r="H111" s="415">
        <f>I96*F111+E111</f>
        <v>0</v>
      </c>
      <c r="I111" s="427">
        <f t="shared" si="2"/>
        <v>0</v>
      </c>
      <c r="J111" s="427"/>
      <c r="K111" s="851"/>
      <c r="L111" s="909"/>
      <c r="M111" s="851"/>
      <c r="N111" s="909"/>
      <c r="O111" s="909"/>
      <c r="P111" s="434"/>
    </row>
    <row r="112" spans="3:16" ht="12.75">
      <c r="C112" s="422">
        <f>IF(D94="","-",+C111+1)</f>
        <v>2020</v>
      </c>
      <c r="D112" s="423">
        <f t="shared" si="1"/>
        <v>0</v>
      </c>
      <c r="E112" s="425">
        <f t="shared" si="3"/>
        <v>0</v>
      </c>
      <c r="F112" s="423">
        <f t="shared" si="0"/>
        <v>0</v>
      </c>
      <c r="G112" s="426">
        <f>+I95*F112+E112</f>
        <v>0</v>
      </c>
      <c r="H112" s="415">
        <f>I96*F112+E112</f>
        <v>0</v>
      </c>
      <c r="I112" s="427">
        <f t="shared" si="2"/>
        <v>0</v>
      </c>
      <c r="J112" s="427"/>
      <c r="K112" s="851"/>
      <c r="L112" s="909"/>
      <c r="M112" s="851"/>
      <c r="N112" s="909"/>
      <c r="O112" s="909"/>
      <c r="P112" s="434"/>
    </row>
    <row r="113" spans="3:16" ht="12.75">
      <c r="C113" s="422">
        <f>IF(D94="","-",+C112+1)</f>
        <v>2021</v>
      </c>
      <c r="D113" s="423">
        <f t="shared" si="1"/>
        <v>0</v>
      </c>
      <c r="E113" s="425">
        <f t="shared" si="3"/>
        <v>0</v>
      </c>
      <c r="F113" s="423">
        <f t="shared" si="0"/>
        <v>0</v>
      </c>
      <c r="G113" s="426">
        <f>+I95*F113+E113</f>
        <v>0</v>
      </c>
      <c r="H113" s="415">
        <f>I96*F113+E113</f>
        <v>0</v>
      </c>
      <c r="I113" s="427">
        <f t="shared" si="2"/>
        <v>0</v>
      </c>
      <c r="J113" s="427"/>
      <c r="K113" s="851"/>
      <c r="L113" s="909"/>
      <c r="M113" s="851"/>
      <c r="N113" s="909"/>
      <c r="O113" s="909"/>
      <c r="P113" s="434"/>
    </row>
    <row r="114" spans="3:16" ht="12.75">
      <c r="C114" s="422">
        <f>IF(D94="","-",+C113+1)</f>
        <v>2022</v>
      </c>
      <c r="D114" s="423">
        <f t="shared" si="1"/>
        <v>0</v>
      </c>
      <c r="E114" s="425">
        <f t="shared" si="3"/>
        <v>0</v>
      </c>
      <c r="F114" s="423">
        <f t="shared" si="0"/>
        <v>0</v>
      </c>
      <c r="G114" s="426">
        <f>+I95*F114+E114</f>
        <v>0</v>
      </c>
      <c r="H114" s="415">
        <f>I96*F114+E114</f>
        <v>0</v>
      </c>
      <c r="I114" s="427">
        <f t="shared" si="2"/>
        <v>0</v>
      </c>
      <c r="J114" s="427"/>
      <c r="K114" s="851"/>
      <c r="L114" s="909"/>
      <c r="M114" s="851"/>
      <c r="N114" s="909"/>
      <c r="O114" s="909"/>
      <c r="P114" s="434"/>
    </row>
    <row r="115" spans="3:16" ht="12.75">
      <c r="C115" s="422">
        <f>IF(D94="","-",+C114+1)</f>
        <v>2023</v>
      </c>
      <c r="D115" s="423">
        <f t="shared" si="1"/>
        <v>0</v>
      </c>
      <c r="E115" s="425">
        <f t="shared" si="3"/>
        <v>0</v>
      </c>
      <c r="F115" s="423">
        <f t="shared" si="0"/>
        <v>0</v>
      </c>
      <c r="G115" s="426">
        <f>+I95*F115+E115</f>
        <v>0</v>
      </c>
      <c r="H115" s="415">
        <f>I96*F115+E115</f>
        <v>0</v>
      </c>
      <c r="I115" s="427">
        <f t="shared" si="2"/>
        <v>0</v>
      </c>
      <c r="J115" s="427"/>
      <c r="K115" s="851"/>
      <c r="L115" s="909"/>
      <c r="M115" s="851"/>
      <c r="N115" s="909"/>
      <c r="O115" s="909"/>
      <c r="P115" s="434"/>
    </row>
    <row r="116" spans="3:16" ht="12.75">
      <c r="C116" s="422">
        <f>IF(D94="","-",+C115+1)</f>
        <v>2024</v>
      </c>
      <c r="D116" s="423">
        <f t="shared" si="1"/>
        <v>0</v>
      </c>
      <c r="E116" s="425">
        <f t="shared" si="3"/>
        <v>0</v>
      </c>
      <c r="F116" s="423">
        <f t="shared" si="0"/>
        <v>0</v>
      </c>
      <c r="G116" s="426">
        <f>+I95*F116+E116</f>
        <v>0</v>
      </c>
      <c r="H116" s="415">
        <f>I96*F116+E116</f>
        <v>0</v>
      </c>
      <c r="I116" s="427">
        <f t="shared" si="2"/>
        <v>0</v>
      </c>
      <c r="J116" s="427"/>
      <c r="K116" s="851"/>
      <c r="L116" s="909"/>
      <c r="M116" s="851"/>
      <c r="N116" s="909"/>
      <c r="O116" s="909"/>
      <c r="P116" s="434"/>
    </row>
    <row r="117" spans="3:16" ht="12.75">
      <c r="C117" s="422">
        <f>IF(D94="","-",+C116+1)</f>
        <v>2025</v>
      </c>
      <c r="D117" s="423">
        <f t="shared" si="1"/>
        <v>0</v>
      </c>
      <c r="E117" s="425">
        <f t="shared" si="3"/>
        <v>0</v>
      </c>
      <c r="F117" s="423">
        <f t="shared" si="0"/>
        <v>0</v>
      </c>
      <c r="G117" s="426">
        <f>+I95*F117+E117</f>
        <v>0</v>
      </c>
      <c r="H117" s="415">
        <f>I96*F117+E117</f>
        <v>0</v>
      </c>
      <c r="I117" s="427">
        <f t="shared" si="2"/>
        <v>0</v>
      </c>
      <c r="J117" s="427"/>
      <c r="K117" s="851"/>
      <c r="L117" s="909"/>
      <c r="M117" s="851"/>
      <c r="N117" s="909"/>
      <c r="O117" s="909"/>
      <c r="P117" s="434"/>
    </row>
    <row r="118" spans="3:16" ht="12.75">
      <c r="C118" s="422">
        <f>IF(D94="","-",+C117+1)</f>
        <v>2026</v>
      </c>
      <c r="D118" s="423">
        <f t="shared" si="1"/>
        <v>0</v>
      </c>
      <c r="E118" s="425">
        <f t="shared" si="3"/>
        <v>0</v>
      </c>
      <c r="F118" s="423">
        <f t="shared" si="0"/>
        <v>0</v>
      </c>
      <c r="G118" s="426">
        <f>+I95*F118+E118</f>
        <v>0</v>
      </c>
      <c r="H118" s="415">
        <f>I96*F118+E118</f>
        <v>0</v>
      </c>
      <c r="I118" s="427">
        <f t="shared" si="2"/>
        <v>0</v>
      </c>
      <c r="J118" s="427"/>
      <c r="K118" s="851"/>
      <c r="L118" s="909"/>
      <c r="M118" s="851"/>
      <c r="N118" s="909"/>
      <c r="O118" s="909"/>
      <c r="P118" s="434"/>
    </row>
    <row r="119" spans="3:16" ht="12.75">
      <c r="C119" s="422">
        <f>IF(D94="","-",+C118+1)</f>
        <v>2027</v>
      </c>
      <c r="D119" s="423">
        <f t="shared" si="1"/>
        <v>0</v>
      </c>
      <c r="E119" s="425">
        <f t="shared" si="3"/>
        <v>0</v>
      </c>
      <c r="F119" s="423">
        <f t="shared" si="0"/>
        <v>0</v>
      </c>
      <c r="G119" s="426">
        <f>+I95*F119+E119</f>
        <v>0</v>
      </c>
      <c r="H119" s="415">
        <f>I96*F119+E119</f>
        <v>0</v>
      </c>
      <c r="I119" s="427">
        <f t="shared" si="2"/>
        <v>0</v>
      </c>
      <c r="J119" s="427"/>
      <c r="K119" s="851"/>
      <c r="L119" s="909"/>
      <c r="M119" s="851"/>
      <c r="N119" s="909"/>
      <c r="O119" s="909"/>
      <c r="P119" s="434"/>
    </row>
    <row r="120" spans="3:16" ht="12.75">
      <c r="C120" s="422">
        <f>IF(D94="","-",+C119+1)</f>
        <v>2028</v>
      </c>
      <c r="D120" s="423">
        <f t="shared" si="1"/>
        <v>0</v>
      </c>
      <c r="E120" s="425">
        <f t="shared" si="3"/>
        <v>0</v>
      </c>
      <c r="F120" s="423">
        <f t="shared" si="0"/>
        <v>0</v>
      </c>
      <c r="G120" s="426">
        <f>+I95*F120+E120</f>
        <v>0</v>
      </c>
      <c r="H120" s="415">
        <f>I96*F120+E120</f>
        <v>0</v>
      </c>
      <c r="I120" s="427">
        <f t="shared" si="2"/>
        <v>0</v>
      </c>
      <c r="J120" s="427"/>
      <c r="K120" s="851"/>
      <c r="L120" s="909"/>
      <c r="M120" s="851"/>
      <c r="N120" s="909"/>
      <c r="O120" s="909"/>
      <c r="P120" s="434"/>
    </row>
    <row r="121" spans="3:16" ht="12.75">
      <c r="C121" s="422">
        <f>IF(D94="","-",+C120+1)</f>
        <v>2029</v>
      </c>
      <c r="D121" s="423">
        <f t="shared" si="1"/>
        <v>0</v>
      </c>
      <c r="E121" s="425">
        <f t="shared" si="3"/>
        <v>0</v>
      </c>
      <c r="F121" s="423">
        <f t="shared" si="0"/>
        <v>0</v>
      </c>
      <c r="G121" s="426">
        <f>+I95*F121+E121</f>
        <v>0</v>
      </c>
      <c r="H121" s="415">
        <f>I96*F121+E121</f>
        <v>0</v>
      </c>
      <c r="I121" s="427">
        <f t="shared" si="2"/>
        <v>0</v>
      </c>
      <c r="J121" s="427"/>
      <c r="K121" s="851"/>
      <c r="L121" s="909"/>
      <c r="M121" s="851"/>
      <c r="N121" s="909"/>
      <c r="O121" s="909"/>
      <c r="P121" s="434"/>
    </row>
    <row r="122" spans="3:16" ht="12.75">
      <c r="C122" s="422">
        <f>IF(D94="","-",+C121+1)</f>
        <v>2030</v>
      </c>
      <c r="D122" s="423">
        <f t="shared" si="1"/>
        <v>0</v>
      </c>
      <c r="E122" s="425">
        <f t="shared" si="3"/>
        <v>0</v>
      </c>
      <c r="F122" s="423">
        <f t="shared" si="0"/>
        <v>0</v>
      </c>
      <c r="G122" s="426">
        <f>+I95*F122+E122</f>
        <v>0</v>
      </c>
      <c r="H122" s="415">
        <f>I96*F122+E122</f>
        <v>0</v>
      </c>
      <c r="I122" s="427">
        <f t="shared" si="2"/>
        <v>0</v>
      </c>
      <c r="J122" s="427"/>
      <c r="K122" s="851"/>
      <c r="L122" s="909"/>
      <c r="M122" s="851"/>
      <c r="N122" s="909"/>
      <c r="O122" s="909"/>
      <c r="P122" s="434"/>
    </row>
    <row r="123" spans="3:16" ht="12.75">
      <c r="C123" s="422">
        <f>IF(D94="","-",+C122+1)</f>
        <v>2031</v>
      </c>
      <c r="D123" s="423">
        <f t="shared" si="1"/>
        <v>0</v>
      </c>
      <c r="E123" s="425">
        <f t="shared" si="3"/>
        <v>0</v>
      </c>
      <c r="F123" s="423">
        <f t="shared" si="0"/>
        <v>0</v>
      </c>
      <c r="G123" s="426">
        <f>+I95*F123+E123</f>
        <v>0</v>
      </c>
      <c r="H123" s="415">
        <f>I96*F123+E123</f>
        <v>0</v>
      </c>
      <c r="I123" s="427">
        <f t="shared" si="2"/>
        <v>0</v>
      </c>
      <c r="J123" s="427"/>
      <c r="K123" s="851"/>
      <c r="L123" s="909"/>
      <c r="M123" s="851"/>
      <c r="N123" s="909"/>
      <c r="O123" s="909"/>
      <c r="P123" s="434"/>
    </row>
    <row r="124" spans="3:16" ht="12.75">
      <c r="C124" s="422">
        <f>IF(D94="","-",+C123+1)</f>
        <v>2032</v>
      </c>
      <c r="D124" s="423">
        <f t="shared" si="1"/>
        <v>0</v>
      </c>
      <c r="E124" s="425">
        <f t="shared" si="3"/>
        <v>0</v>
      </c>
      <c r="F124" s="423">
        <f t="shared" si="0"/>
        <v>0</v>
      </c>
      <c r="G124" s="426">
        <f>+I95*F124+E124</f>
        <v>0</v>
      </c>
      <c r="H124" s="415">
        <f>I96*F124+E124</f>
        <v>0</v>
      </c>
      <c r="I124" s="427">
        <f t="shared" si="2"/>
        <v>0</v>
      </c>
      <c r="J124" s="427"/>
      <c r="K124" s="851"/>
      <c r="L124" s="909"/>
      <c r="M124" s="851"/>
      <c r="N124" s="909"/>
      <c r="O124" s="909"/>
      <c r="P124" s="434"/>
    </row>
    <row r="125" spans="3:16" ht="12.75">
      <c r="C125" s="422">
        <f>IF(D94="","-",+C124+1)</f>
        <v>2033</v>
      </c>
      <c r="D125" s="423">
        <f t="shared" si="1"/>
        <v>0</v>
      </c>
      <c r="E125" s="425">
        <f t="shared" si="3"/>
        <v>0</v>
      </c>
      <c r="F125" s="423">
        <f t="shared" si="0"/>
        <v>0</v>
      </c>
      <c r="G125" s="426">
        <f>+I95*F125+E125</f>
        <v>0</v>
      </c>
      <c r="H125" s="415">
        <f>I96*F125+E125</f>
        <v>0</v>
      </c>
      <c r="I125" s="427">
        <f t="shared" si="2"/>
        <v>0</v>
      </c>
      <c r="J125" s="427"/>
      <c r="K125" s="851"/>
      <c r="L125" s="909"/>
      <c r="M125" s="851"/>
      <c r="N125" s="909"/>
      <c r="O125" s="909"/>
      <c r="P125" s="434"/>
    </row>
    <row r="126" spans="3:16" ht="12.75">
      <c r="C126" s="422">
        <f>IF(D94="","-",+C125+1)</f>
        <v>2034</v>
      </c>
      <c r="D126" s="423">
        <f t="shared" si="1"/>
        <v>0</v>
      </c>
      <c r="E126" s="425">
        <f t="shared" si="3"/>
        <v>0</v>
      </c>
      <c r="F126" s="423">
        <f t="shared" si="0"/>
        <v>0</v>
      </c>
      <c r="G126" s="426">
        <f>+I95*F126+E126</f>
        <v>0</v>
      </c>
      <c r="H126" s="415">
        <f>I96*F126+E126</f>
        <v>0</v>
      </c>
      <c r="I126" s="427">
        <f t="shared" si="2"/>
        <v>0</v>
      </c>
      <c r="J126" s="427"/>
      <c r="K126" s="851"/>
      <c r="L126" s="909"/>
      <c r="M126" s="851"/>
      <c r="N126" s="909"/>
      <c r="O126" s="909"/>
      <c r="P126" s="434"/>
    </row>
    <row r="127" spans="3:16" ht="12.75">
      <c r="C127" s="422">
        <f>IF(D94="","-",+C126+1)</f>
        <v>2035</v>
      </c>
      <c r="D127" s="423">
        <f t="shared" si="1"/>
        <v>0</v>
      </c>
      <c r="E127" s="425">
        <f t="shared" si="3"/>
        <v>0</v>
      </c>
      <c r="F127" s="423">
        <f t="shared" si="0"/>
        <v>0</v>
      </c>
      <c r="G127" s="426">
        <f>+I95*F127+E127</f>
        <v>0</v>
      </c>
      <c r="H127" s="415">
        <f>I96*F127+E127</f>
        <v>0</v>
      </c>
      <c r="I127" s="427">
        <f t="shared" si="2"/>
        <v>0</v>
      </c>
      <c r="J127" s="427"/>
      <c r="K127" s="851"/>
      <c r="L127" s="909"/>
      <c r="M127" s="851"/>
      <c r="N127" s="909"/>
      <c r="O127" s="909"/>
      <c r="P127" s="434"/>
    </row>
    <row r="128" spans="3:16" ht="12.75">
      <c r="C128" s="422">
        <f>IF(D94="","-",+C127+1)</f>
        <v>2036</v>
      </c>
      <c r="D128" s="423">
        <f t="shared" si="1"/>
        <v>0</v>
      </c>
      <c r="E128" s="425">
        <f t="shared" si="3"/>
        <v>0</v>
      </c>
      <c r="F128" s="423">
        <f t="shared" si="0"/>
        <v>0</v>
      </c>
      <c r="G128" s="568">
        <f>+I95*F128+E128</f>
        <v>0</v>
      </c>
      <c r="H128" s="415">
        <f>I96*F128+E128</f>
        <v>0</v>
      </c>
      <c r="I128" s="427">
        <f t="shared" si="2"/>
        <v>0</v>
      </c>
      <c r="J128" s="427"/>
      <c r="K128" s="851"/>
      <c r="L128" s="909"/>
      <c r="M128" s="851"/>
      <c r="N128" s="909"/>
      <c r="O128" s="909"/>
      <c r="P128" s="434"/>
    </row>
    <row r="129" spans="3:16" ht="12.75">
      <c r="C129" s="422">
        <f>IF(D94="","-",+C128+1)</f>
        <v>2037</v>
      </c>
      <c r="D129" s="423">
        <f t="shared" si="1"/>
        <v>0</v>
      </c>
      <c r="E129" s="425">
        <f t="shared" si="3"/>
        <v>0</v>
      </c>
      <c r="F129" s="423">
        <f t="shared" si="0"/>
        <v>0</v>
      </c>
      <c r="G129" s="426">
        <f>+I95*F129+E129</f>
        <v>0</v>
      </c>
      <c r="H129" s="415">
        <f>I96*F129+E129</f>
        <v>0</v>
      </c>
      <c r="I129" s="427">
        <f t="shared" si="2"/>
        <v>0</v>
      </c>
      <c r="J129" s="427"/>
      <c r="K129" s="851"/>
      <c r="L129" s="909"/>
      <c r="M129" s="851"/>
      <c r="N129" s="909"/>
      <c r="O129" s="909"/>
      <c r="P129" s="434"/>
    </row>
    <row r="130" spans="3:16" ht="12.75">
      <c r="C130" s="422">
        <f>IF(D94="","-",+C129+1)</f>
        <v>2038</v>
      </c>
      <c r="D130" s="423">
        <f t="shared" si="1"/>
        <v>0</v>
      </c>
      <c r="E130" s="425">
        <f t="shared" si="3"/>
        <v>0</v>
      </c>
      <c r="F130" s="423">
        <f t="shared" si="0"/>
        <v>0</v>
      </c>
      <c r="G130" s="426">
        <f>+I95*F130+E130</f>
        <v>0</v>
      </c>
      <c r="H130" s="415">
        <f>I96*F130+E130</f>
        <v>0</v>
      </c>
      <c r="I130" s="427">
        <f t="shared" si="2"/>
        <v>0</v>
      </c>
      <c r="J130" s="427"/>
      <c r="K130" s="851"/>
      <c r="L130" s="909"/>
      <c r="M130" s="851"/>
      <c r="N130" s="909"/>
      <c r="O130" s="909"/>
      <c r="P130" s="434"/>
    </row>
    <row r="131" spans="3:16" ht="12.75">
      <c r="C131" s="422">
        <f>IF(D94="","-",+C130+1)</f>
        <v>2039</v>
      </c>
      <c r="D131" s="423">
        <f t="shared" si="1"/>
        <v>0</v>
      </c>
      <c r="E131" s="425">
        <f t="shared" si="3"/>
        <v>0</v>
      </c>
      <c r="F131" s="423">
        <f t="shared" si="0"/>
        <v>0</v>
      </c>
      <c r="G131" s="426">
        <f>+I95*F131+E131</f>
        <v>0</v>
      </c>
      <c r="H131" s="415">
        <f>I96*F131+E131</f>
        <v>0</v>
      </c>
      <c r="I131" s="427">
        <f t="shared" si="2"/>
        <v>0</v>
      </c>
      <c r="J131" s="427"/>
      <c r="K131" s="851"/>
      <c r="L131" s="909"/>
      <c r="M131" s="851"/>
      <c r="N131" s="909"/>
      <c r="O131" s="909"/>
      <c r="P131" s="434"/>
    </row>
    <row r="132" spans="3:16" ht="12.75">
      <c r="C132" s="422">
        <f>IF(D94="","-",+C131+1)</f>
        <v>2040</v>
      </c>
      <c r="D132" s="423">
        <f t="shared" si="1"/>
        <v>0</v>
      </c>
      <c r="E132" s="425">
        <f t="shared" si="3"/>
        <v>0</v>
      </c>
      <c r="F132" s="423">
        <f aca="true" t="shared" si="4" ref="F132:F159">+D132-E132</f>
        <v>0</v>
      </c>
      <c r="G132" s="426">
        <f>+I95*F132+E132</f>
        <v>0</v>
      </c>
      <c r="H132" s="415">
        <f>I96*F132+E132</f>
        <v>0</v>
      </c>
      <c r="I132" s="427">
        <f t="shared" si="2"/>
        <v>0</v>
      </c>
      <c r="J132" s="427"/>
      <c r="K132" s="851"/>
      <c r="L132" s="909"/>
      <c r="M132" s="851"/>
      <c r="N132" s="909"/>
      <c r="O132" s="909"/>
      <c r="P132" s="434"/>
    </row>
    <row r="133" spans="3:16" ht="12.75">
      <c r="C133" s="422">
        <f>IF(D94="","-",+C132+1)</f>
        <v>2041</v>
      </c>
      <c r="D133" s="423">
        <f aca="true" t="shared" si="5" ref="D133:D159">F132</f>
        <v>0</v>
      </c>
      <c r="E133" s="425">
        <f t="shared" si="3"/>
        <v>0</v>
      </c>
      <c r="F133" s="423">
        <f t="shared" si="4"/>
        <v>0</v>
      </c>
      <c r="G133" s="426">
        <f>+I95*F133+E133</f>
        <v>0</v>
      </c>
      <c r="H133" s="415">
        <f>I96*F133+E133</f>
        <v>0</v>
      </c>
      <c r="I133" s="427">
        <f t="shared" si="2"/>
        <v>0</v>
      </c>
      <c r="J133" s="427"/>
      <c r="K133" s="851"/>
      <c r="L133" s="909"/>
      <c r="M133" s="851"/>
      <c r="N133" s="909"/>
      <c r="O133" s="909"/>
      <c r="P133" s="434"/>
    </row>
    <row r="134" spans="3:16" ht="12.75">
      <c r="C134" s="422">
        <f>IF(D94="","-",+C133+1)</f>
        <v>2042</v>
      </c>
      <c r="D134" s="423">
        <f t="shared" si="5"/>
        <v>0</v>
      </c>
      <c r="E134" s="425">
        <f t="shared" si="3"/>
        <v>0</v>
      </c>
      <c r="F134" s="423">
        <f t="shared" si="4"/>
        <v>0</v>
      </c>
      <c r="G134" s="426">
        <f>+I95*F134+E134</f>
        <v>0</v>
      </c>
      <c r="H134" s="415">
        <f>I96*F134+E134</f>
        <v>0</v>
      </c>
      <c r="I134" s="427">
        <f t="shared" si="2"/>
        <v>0</v>
      </c>
      <c r="J134" s="427"/>
      <c r="K134" s="851"/>
      <c r="L134" s="909"/>
      <c r="M134" s="851"/>
      <c r="N134" s="909"/>
      <c r="O134" s="909"/>
      <c r="P134" s="434"/>
    </row>
    <row r="135" spans="3:16" ht="12.75">
      <c r="C135" s="422">
        <f>IF(D94="","-",+C134+1)</f>
        <v>2043</v>
      </c>
      <c r="D135" s="423">
        <f t="shared" si="5"/>
        <v>0</v>
      </c>
      <c r="E135" s="425">
        <f t="shared" si="3"/>
        <v>0</v>
      </c>
      <c r="F135" s="423">
        <f t="shared" si="4"/>
        <v>0</v>
      </c>
      <c r="G135" s="426">
        <f>+I95*F135+E135</f>
        <v>0</v>
      </c>
      <c r="H135" s="415">
        <f>I96*F135+E135</f>
        <v>0</v>
      </c>
      <c r="I135" s="427">
        <f t="shared" si="2"/>
        <v>0</v>
      </c>
      <c r="J135" s="427"/>
      <c r="K135" s="851"/>
      <c r="L135" s="909"/>
      <c r="M135" s="851"/>
      <c r="N135" s="909"/>
      <c r="O135" s="909"/>
      <c r="P135" s="434"/>
    </row>
    <row r="136" spans="3:16" ht="12.75">
      <c r="C136" s="422">
        <f>IF(D94="","-",+C135+1)</f>
        <v>2044</v>
      </c>
      <c r="D136" s="423">
        <f t="shared" si="5"/>
        <v>0</v>
      </c>
      <c r="E136" s="425">
        <f t="shared" si="3"/>
        <v>0</v>
      </c>
      <c r="F136" s="423">
        <f t="shared" si="4"/>
        <v>0</v>
      </c>
      <c r="G136" s="426">
        <f>+I95*F136+E136</f>
        <v>0</v>
      </c>
      <c r="H136" s="415">
        <f>I96*F136+E136</f>
        <v>0</v>
      </c>
      <c r="I136" s="427">
        <f t="shared" si="2"/>
        <v>0</v>
      </c>
      <c r="J136" s="427"/>
      <c r="K136" s="851"/>
      <c r="L136" s="909"/>
      <c r="M136" s="851"/>
      <c r="N136" s="909"/>
      <c r="O136" s="909"/>
      <c r="P136" s="434"/>
    </row>
    <row r="137" spans="3:16" ht="12.75">
      <c r="C137" s="422">
        <f>IF(D94="","-",+C136+1)</f>
        <v>2045</v>
      </c>
      <c r="D137" s="423">
        <f t="shared" si="5"/>
        <v>0</v>
      </c>
      <c r="E137" s="425">
        <f t="shared" si="3"/>
        <v>0</v>
      </c>
      <c r="F137" s="423">
        <f t="shared" si="4"/>
        <v>0</v>
      </c>
      <c r="G137" s="426">
        <f>+I95*F137+E137</f>
        <v>0</v>
      </c>
      <c r="H137" s="415">
        <f>I96*F137+E137</f>
        <v>0</v>
      </c>
      <c r="I137" s="427">
        <f t="shared" si="2"/>
        <v>0</v>
      </c>
      <c r="J137" s="427"/>
      <c r="K137" s="851"/>
      <c r="L137" s="909"/>
      <c r="M137" s="851"/>
      <c r="N137" s="909"/>
      <c r="O137" s="909"/>
      <c r="P137" s="434"/>
    </row>
    <row r="138" spans="3:16" ht="12.75">
      <c r="C138" s="422">
        <f>IF(D94="","-",+C137+1)</f>
        <v>2046</v>
      </c>
      <c r="D138" s="423">
        <f t="shared" si="5"/>
        <v>0</v>
      </c>
      <c r="E138" s="425">
        <f t="shared" si="3"/>
        <v>0</v>
      </c>
      <c r="F138" s="423">
        <f t="shared" si="4"/>
        <v>0</v>
      </c>
      <c r="G138" s="426">
        <f>+I95*F138+E138</f>
        <v>0</v>
      </c>
      <c r="H138" s="415">
        <f>I96*F138+E138</f>
        <v>0</v>
      </c>
      <c r="I138" s="427">
        <f t="shared" si="2"/>
        <v>0</v>
      </c>
      <c r="J138" s="427"/>
      <c r="K138" s="851"/>
      <c r="L138" s="909"/>
      <c r="M138" s="851"/>
      <c r="N138" s="909"/>
      <c r="O138" s="909"/>
      <c r="P138" s="434"/>
    </row>
    <row r="139" spans="3:16" ht="12.75">
      <c r="C139" s="422">
        <f>IF(D94="","-",+C138+1)</f>
        <v>2047</v>
      </c>
      <c r="D139" s="423">
        <f t="shared" si="5"/>
        <v>0</v>
      </c>
      <c r="E139" s="425">
        <f t="shared" si="3"/>
        <v>0</v>
      </c>
      <c r="F139" s="423">
        <f t="shared" si="4"/>
        <v>0</v>
      </c>
      <c r="G139" s="426">
        <f>+I95*F139+E139</f>
        <v>0</v>
      </c>
      <c r="H139" s="415">
        <f>I96*F139+E139</f>
        <v>0</v>
      </c>
      <c r="I139" s="427">
        <f t="shared" si="2"/>
        <v>0</v>
      </c>
      <c r="J139" s="427"/>
      <c r="K139" s="851"/>
      <c r="L139" s="909"/>
      <c r="M139" s="851"/>
      <c r="N139" s="909"/>
      <c r="O139" s="909"/>
      <c r="P139" s="434"/>
    </row>
    <row r="140" spans="3:16" ht="12.75">
      <c r="C140" s="422">
        <f>IF(D94="","-",+C139+1)</f>
        <v>2048</v>
      </c>
      <c r="D140" s="423">
        <f t="shared" si="5"/>
        <v>0</v>
      </c>
      <c r="E140" s="425">
        <f t="shared" si="3"/>
        <v>0</v>
      </c>
      <c r="F140" s="423">
        <f t="shared" si="4"/>
        <v>0</v>
      </c>
      <c r="G140" s="426">
        <f>+I95*F140+E140</f>
        <v>0</v>
      </c>
      <c r="H140" s="415">
        <f>I96*F140+E140</f>
        <v>0</v>
      </c>
      <c r="I140" s="427">
        <f t="shared" si="2"/>
        <v>0</v>
      </c>
      <c r="J140" s="427"/>
      <c r="K140" s="851"/>
      <c r="L140" s="909"/>
      <c r="M140" s="851"/>
      <c r="N140" s="909"/>
      <c r="O140" s="909"/>
      <c r="P140" s="434"/>
    </row>
    <row r="141" spans="3:16" ht="12.75">
      <c r="C141" s="422">
        <f>IF(D94="","-",+C140+1)</f>
        <v>2049</v>
      </c>
      <c r="D141" s="423">
        <f t="shared" si="5"/>
        <v>0</v>
      </c>
      <c r="E141" s="425">
        <f t="shared" si="3"/>
        <v>0</v>
      </c>
      <c r="F141" s="423">
        <f t="shared" si="4"/>
        <v>0</v>
      </c>
      <c r="G141" s="426">
        <f>+I95*F141+E141</f>
        <v>0</v>
      </c>
      <c r="H141" s="415">
        <f>I96*F141+E141</f>
        <v>0</v>
      </c>
      <c r="I141" s="427">
        <f t="shared" si="2"/>
        <v>0</v>
      </c>
      <c r="J141" s="427"/>
      <c r="K141" s="851"/>
      <c r="L141" s="909"/>
      <c r="M141" s="851"/>
      <c r="N141" s="909"/>
      <c r="O141" s="909"/>
      <c r="P141" s="434"/>
    </row>
    <row r="142" spans="3:16" ht="12.75">
      <c r="C142" s="422">
        <f>IF(D94="","-",+C141+1)</f>
        <v>2050</v>
      </c>
      <c r="D142" s="423">
        <f t="shared" si="5"/>
        <v>0</v>
      </c>
      <c r="E142" s="425">
        <f t="shared" si="3"/>
        <v>0</v>
      </c>
      <c r="F142" s="423">
        <f t="shared" si="4"/>
        <v>0</v>
      </c>
      <c r="G142" s="426">
        <f>+I95*F142+E142</f>
        <v>0</v>
      </c>
      <c r="H142" s="415">
        <f>I96*F142+E142</f>
        <v>0</v>
      </c>
      <c r="I142" s="427">
        <f t="shared" si="2"/>
        <v>0</v>
      </c>
      <c r="J142" s="427"/>
      <c r="K142" s="851"/>
      <c r="L142" s="909"/>
      <c r="M142" s="851"/>
      <c r="N142" s="909"/>
      <c r="O142" s="909"/>
      <c r="P142" s="434"/>
    </row>
    <row r="143" spans="3:16" ht="12.75">
      <c r="C143" s="422">
        <f>IF(D94="","-",+C142+1)</f>
        <v>2051</v>
      </c>
      <c r="D143" s="423">
        <f t="shared" si="5"/>
        <v>0</v>
      </c>
      <c r="E143" s="425">
        <f t="shared" si="3"/>
        <v>0</v>
      </c>
      <c r="F143" s="423">
        <f t="shared" si="4"/>
        <v>0</v>
      </c>
      <c r="G143" s="426">
        <f>+I95*F143+E143</f>
        <v>0</v>
      </c>
      <c r="H143" s="415">
        <f>I96*F143+E143</f>
        <v>0</v>
      </c>
      <c r="I143" s="427">
        <f t="shared" si="2"/>
        <v>0</v>
      </c>
      <c r="J143" s="427"/>
      <c r="K143" s="851"/>
      <c r="L143" s="909"/>
      <c r="M143" s="851"/>
      <c r="N143" s="909"/>
      <c r="O143" s="909"/>
      <c r="P143" s="434"/>
    </row>
    <row r="144" spans="3:16" ht="12.75">
      <c r="C144" s="422">
        <f>IF(D94="","-",+C143+1)</f>
        <v>2052</v>
      </c>
      <c r="D144" s="423">
        <f t="shared" si="5"/>
        <v>0</v>
      </c>
      <c r="E144" s="425">
        <f t="shared" si="3"/>
        <v>0</v>
      </c>
      <c r="F144" s="423">
        <f t="shared" si="4"/>
        <v>0</v>
      </c>
      <c r="G144" s="426">
        <f>+I95*F144+E144</f>
        <v>0</v>
      </c>
      <c r="H144" s="415">
        <f>I96*F144+E144</f>
        <v>0</v>
      </c>
      <c r="I144" s="427">
        <f t="shared" si="2"/>
        <v>0</v>
      </c>
      <c r="J144" s="427"/>
      <c r="K144" s="851"/>
      <c r="L144" s="909"/>
      <c r="M144" s="851"/>
      <c r="N144" s="909"/>
      <c r="O144" s="909"/>
      <c r="P144" s="434"/>
    </row>
    <row r="145" spans="3:16" ht="12.75">
      <c r="C145" s="422">
        <f>IF(D94="","-",+C144+1)</f>
        <v>2053</v>
      </c>
      <c r="D145" s="423">
        <f t="shared" si="5"/>
        <v>0</v>
      </c>
      <c r="E145" s="425">
        <f t="shared" si="3"/>
        <v>0</v>
      </c>
      <c r="F145" s="423">
        <f t="shared" si="4"/>
        <v>0</v>
      </c>
      <c r="G145" s="426">
        <f>+I95*F145+E145</f>
        <v>0</v>
      </c>
      <c r="H145" s="415">
        <f>I96*F145+E145</f>
        <v>0</v>
      </c>
      <c r="I145" s="427">
        <f t="shared" si="2"/>
        <v>0</v>
      </c>
      <c r="J145" s="427"/>
      <c r="K145" s="851"/>
      <c r="L145" s="909"/>
      <c r="M145" s="851"/>
      <c r="N145" s="909"/>
      <c r="O145" s="909"/>
      <c r="P145" s="434"/>
    </row>
    <row r="146" spans="3:16" ht="12.75">
      <c r="C146" s="422">
        <f>IF(D94="","-",+C145+1)</f>
        <v>2054</v>
      </c>
      <c r="D146" s="423">
        <f t="shared" si="5"/>
        <v>0</v>
      </c>
      <c r="E146" s="425">
        <f t="shared" si="3"/>
        <v>0</v>
      </c>
      <c r="F146" s="423">
        <f t="shared" si="4"/>
        <v>0</v>
      </c>
      <c r="G146" s="426">
        <f>+I95*F146+E146</f>
        <v>0</v>
      </c>
      <c r="H146" s="415">
        <f>I96*F146+E146</f>
        <v>0</v>
      </c>
      <c r="I146" s="427">
        <f t="shared" si="2"/>
        <v>0</v>
      </c>
      <c r="J146" s="427"/>
      <c r="K146" s="851"/>
      <c r="L146" s="909"/>
      <c r="M146" s="851"/>
      <c r="N146" s="909"/>
      <c r="O146" s="909"/>
      <c r="P146" s="434"/>
    </row>
    <row r="147" spans="3:16" ht="12.75">
      <c r="C147" s="422">
        <f>IF(D94="","-",+C146+1)</f>
        <v>2055</v>
      </c>
      <c r="D147" s="423">
        <f t="shared" si="5"/>
        <v>0</v>
      </c>
      <c r="E147" s="425">
        <f t="shared" si="3"/>
        <v>0</v>
      </c>
      <c r="F147" s="423">
        <f t="shared" si="4"/>
        <v>0</v>
      </c>
      <c r="G147" s="426">
        <f>+I95*F147+E147</f>
        <v>0</v>
      </c>
      <c r="H147" s="415">
        <f>I96*F147+E147</f>
        <v>0</v>
      </c>
      <c r="I147" s="427">
        <f t="shared" si="2"/>
        <v>0</v>
      </c>
      <c r="J147" s="427"/>
      <c r="K147" s="851"/>
      <c r="L147" s="909"/>
      <c r="M147" s="851"/>
      <c r="N147" s="909"/>
      <c r="O147" s="909"/>
      <c r="P147" s="434"/>
    </row>
    <row r="148" spans="3:16" ht="12.75">
      <c r="C148" s="422">
        <f>IF(D94="","-",+C147+1)</f>
        <v>2056</v>
      </c>
      <c r="D148" s="423">
        <f t="shared" si="5"/>
        <v>0</v>
      </c>
      <c r="E148" s="425">
        <f t="shared" si="3"/>
        <v>0</v>
      </c>
      <c r="F148" s="423">
        <f t="shared" si="4"/>
        <v>0</v>
      </c>
      <c r="G148" s="426">
        <f>+I95*F148+E148</f>
        <v>0</v>
      </c>
      <c r="H148" s="415">
        <f>I96*F148+E148</f>
        <v>0</v>
      </c>
      <c r="I148" s="427">
        <f t="shared" si="2"/>
        <v>0</v>
      </c>
      <c r="J148" s="427"/>
      <c r="K148" s="851"/>
      <c r="L148" s="909"/>
      <c r="M148" s="851"/>
      <c r="N148" s="909"/>
      <c r="O148" s="909"/>
      <c r="P148" s="434"/>
    </row>
    <row r="149" spans="3:16" ht="12.75">
      <c r="C149" s="422">
        <f>IF(D94="","-",+C148+1)</f>
        <v>2057</v>
      </c>
      <c r="D149" s="423">
        <f t="shared" si="5"/>
        <v>0</v>
      </c>
      <c r="E149" s="425">
        <f t="shared" si="3"/>
        <v>0</v>
      </c>
      <c r="F149" s="423">
        <f t="shared" si="4"/>
        <v>0</v>
      </c>
      <c r="G149" s="426">
        <f>+I95*F149+E149</f>
        <v>0</v>
      </c>
      <c r="H149" s="415">
        <f>I96*F149+E149</f>
        <v>0</v>
      </c>
      <c r="I149" s="427">
        <f t="shared" si="2"/>
        <v>0</v>
      </c>
      <c r="J149" s="427"/>
      <c r="K149" s="851"/>
      <c r="L149" s="909"/>
      <c r="M149" s="851"/>
      <c r="N149" s="909"/>
      <c r="O149" s="909"/>
      <c r="P149" s="434"/>
    </row>
    <row r="150" spans="3:16" ht="12.75">
      <c r="C150" s="422">
        <f>IF(D94="","-",+C149+1)</f>
        <v>2058</v>
      </c>
      <c r="D150" s="423">
        <f t="shared" si="5"/>
        <v>0</v>
      </c>
      <c r="E150" s="425">
        <f t="shared" si="3"/>
        <v>0</v>
      </c>
      <c r="F150" s="423">
        <f t="shared" si="4"/>
        <v>0</v>
      </c>
      <c r="G150" s="426">
        <f>+I95*F150+E150</f>
        <v>0</v>
      </c>
      <c r="H150" s="415">
        <f>I96*F150+E150</f>
        <v>0</v>
      </c>
      <c r="I150" s="427">
        <f t="shared" si="2"/>
        <v>0</v>
      </c>
      <c r="J150" s="427"/>
      <c r="K150" s="851"/>
      <c r="L150" s="909"/>
      <c r="M150" s="851"/>
      <c r="N150" s="909"/>
      <c r="O150" s="909"/>
      <c r="P150" s="434"/>
    </row>
    <row r="151" spans="3:16" ht="12.75">
      <c r="C151" s="422">
        <f>IF(D94="","-",+C150+1)</f>
        <v>2059</v>
      </c>
      <c r="D151" s="423">
        <f t="shared" si="5"/>
        <v>0</v>
      </c>
      <c r="E151" s="425">
        <f t="shared" si="3"/>
        <v>0</v>
      </c>
      <c r="F151" s="423">
        <f t="shared" si="4"/>
        <v>0</v>
      </c>
      <c r="G151" s="426">
        <f>+I95*F151+E151</f>
        <v>0</v>
      </c>
      <c r="H151" s="415">
        <f>I96*F151+E151</f>
        <v>0</v>
      </c>
      <c r="I151" s="427">
        <f t="shared" si="2"/>
        <v>0</v>
      </c>
      <c r="J151" s="427"/>
      <c r="K151" s="851"/>
      <c r="L151" s="909"/>
      <c r="M151" s="851"/>
      <c r="N151" s="909"/>
      <c r="O151" s="909"/>
      <c r="P151" s="434"/>
    </row>
    <row r="152" spans="3:16" ht="12.75">
      <c r="C152" s="422">
        <f>IF(D94="","-",+C151+1)</f>
        <v>2060</v>
      </c>
      <c r="D152" s="423">
        <f t="shared" si="5"/>
        <v>0</v>
      </c>
      <c r="E152" s="425">
        <f t="shared" si="3"/>
        <v>0</v>
      </c>
      <c r="F152" s="423">
        <f t="shared" si="4"/>
        <v>0</v>
      </c>
      <c r="G152" s="426">
        <f>+I95*F152+E152</f>
        <v>0</v>
      </c>
      <c r="H152" s="415">
        <f>I96*F152+E152</f>
        <v>0</v>
      </c>
      <c r="I152" s="427">
        <f t="shared" si="2"/>
        <v>0</v>
      </c>
      <c r="J152" s="427"/>
      <c r="K152" s="851"/>
      <c r="L152" s="909"/>
      <c r="M152" s="851"/>
      <c r="N152" s="909"/>
      <c r="O152" s="909"/>
      <c r="P152" s="434"/>
    </row>
    <row r="153" spans="3:16" ht="12.75">
      <c r="C153" s="422">
        <f>IF(D94="","-",+C152+1)</f>
        <v>2061</v>
      </c>
      <c r="D153" s="423">
        <f t="shared" si="5"/>
        <v>0</v>
      </c>
      <c r="E153" s="425">
        <f t="shared" si="3"/>
        <v>0</v>
      </c>
      <c r="F153" s="423">
        <f t="shared" si="4"/>
        <v>0</v>
      </c>
      <c r="G153" s="426">
        <f>+I95*F153+E153</f>
        <v>0</v>
      </c>
      <c r="H153" s="415">
        <f>I96*F153+E153</f>
        <v>0</v>
      </c>
      <c r="I153" s="427">
        <f t="shared" si="2"/>
        <v>0</v>
      </c>
      <c r="J153" s="427"/>
      <c r="K153" s="851"/>
      <c r="L153" s="909"/>
      <c r="M153" s="851"/>
      <c r="N153" s="909"/>
      <c r="O153" s="909"/>
      <c r="P153" s="434"/>
    </row>
    <row r="154" spans="3:16" ht="12.75">
      <c r="C154" s="422">
        <f>IF(D94="","-",+C153+1)</f>
        <v>2062</v>
      </c>
      <c r="D154" s="423">
        <f t="shared" si="5"/>
        <v>0</v>
      </c>
      <c r="E154" s="425">
        <f t="shared" si="3"/>
        <v>0</v>
      </c>
      <c r="F154" s="423">
        <f t="shared" si="4"/>
        <v>0</v>
      </c>
      <c r="G154" s="426">
        <f>+I95*F154+E154</f>
        <v>0</v>
      </c>
      <c r="H154" s="415">
        <f>I96*F154+E154</f>
        <v>0</v>
      </c>
      <c r="I154" s="427">
        <f t="shared" si="2"/>
        <v>0</v>
      </c>
      <c r="J154" s="427"/>
      <c r="K154" s="851"/>
      <c r="L154" s="909"/>
      <c r="M154" s="851"/>
      <c r="N154" s="909"/>
      <c r="O154" s="909"/>
      <c r="P154" s="434"/>
    </row>
    <row r="155" spans="3:16" ht="12.75">
      <c r="C155" s="422">
        <f>IF(D94="","-",+C154+1)</f>
        <v>2063</v>
      </c>
      <c r="D155" s="423">
        <f t="shared" si="5"/>
        <v>0</v>
      </c>
      <c r="E155" s="425">
        <f t="shared" si="3"/>
        <v>0</v>
      </c>
      <c r="F155" s="423">
        <f t="shared" si="4"/>
        <v>0</v>
      </c>
      <c r="G155" s="426">
        <f>+I95*F155+E155</f>
        <v>0</v>
      </c>
      <c r="H155" s="415">
        <f>I96*F155+E155</f>
        <v>0</v>
      </c>
      <c r="I155" s="427">
        <f t="shared" si="2"/>
        <v>0</v>
      </c>
      <c r="J155" s="427"/>
      <c r="K155" s="851"/>
      <c r="L155" s="909"/>
      <c r="M155" s="851"/>
      <c r="N155" s="909"/>
      <c r="O155" s="909"/>
      <c r="P155" s="434"/>
    </row>
    <row r="156" spans="3:16" ht="12.75">
      <c r="C156" s="422">
        <f>IF(D94="","-",+C155+1)</f>
        <v>2064</v>
      </c>
      <c r="D156" s="423">
        <f t="shared" si="5"/>
        <v>0</v>
      </c>
      <c r="E156" s="425">
        <f t="shared" si="3"/>
        <v>0</v>
      </c>
      <c r="F156" s="423">
        <f t="shared" si="4"/>
        <v>0</v>
      </c>
      <c r="G156" s="426">
        <f>+I95*F156+E156</f>
        <v>0</v>
      </c>
      <c r="H156" s="415">
        <f>I96*F156+E156</f>
        <v>0</v>
      </c>
      <c r="I156" s="427">
        <f t="shared" si="2"/>
        <v>0</v>
      </c>
      <c r="J156" s="427"/>
      <c r="K156" s="851"/>
      <c r="L156" s="909"/>
      <c r="M156" s="851"/>
      <c r="N156" s="909"/>
      <c r="O156" s="909"/>
      <c r="P156" s="434"/>
    </row>
    <row r="157" spans="3:16" ht="12.75">
      <c r="C157" s="422">
        <f>IF(D94="","-",+C156+1)</f>
        <v>2065</v>
      </c>
      <c r="D157" s="423">
        <f t="shared" si="5"/>
        <v>0</v>
      </c>
      <c r="E157" s="425">
        <f t="shared" si="3"/>
        <v>0</v>
      </c>
      <c r="F157" s="423">
        <f t="shared" si="4"/>
        <v>0</v>
      </c>
      <c r="G157" s="426">
        <f>+I95*F157+E157</f>
        <v>0</v>
      </c>
      <c r="H157" s="415">
        <f>I96*F157+E157</f>
        <v>0</v>
      </c>
      <c r="I157" s="427">
        <f t="shared" si="2"/>
        <v>0</v>
      </c>
      <c r="J157" s="427"/>
      <c r="K157" s="851"/>
      <c r="L157" s="909"/>
      <c r="M157" s="851"/>
      <c r="N157" s="909"/>
      <c r="O157" s="909"/>
      <c r="P157" s="434"/>
    </row>
    <row r="158" spans="3:16" ht="12.75">
      <c r="C158" s="422">
        <f>IF(D94="","-",+C157+1)</f>
        <v>2066</v>
      </c>
      <c r="D158" s="423">
        <f t="shared" si="5"/>
        <v>0</v>
      </c>
      <c r="E158" s="425">
        <f t="shared" si="3"/>
        <v>0</v>
      </c>
      <c r="F158" s="423">
        <f t="shared" si="4"/>
        <v>0</v>
      </c>
      <c r="G158" s="426">
        <f>+I95*F158+E158</f>
        <v>0</v>
      </c>
      <c r="H158" s="415">
        <f>I96*F158+E158</f>
        <v>0</v>
      </c>
      <c r="I158" s="427">
        <f t="shared" si="2"/>
        <v>0</v>
      </c>
      <c r="J158" s="427"/>
      <c r="K158" s="851"/>
      <c r="L158" s="909"/>
      <c r="M158" s="851"/>
      <c r="N158" s="909"/>
      <c r="O158" s="909"/>
      <c r="P158" s="434"/>
    </row>
    <row r="159" spans="3:16" ht="13.5" thickBot="1">
      <c r="C159" s="428">
        <f>IF(D94="","-",+C158+1)</f>
        <v>2067</v>
      </c>
      <c r="D159" s="429">
        <f t="shared" si="5"/>
        <v>0</v>
      </c>
      <c r="E159" s="430">
        <f t="shared" si="3"/>
        <v>0</v>
      </c>
      <c r="F159" s="429">
        <f t="shared" si="4"/>
        <v>0</v>
      </c>
      <c r="G159" s="431">
        <f>+I95*F159+E159</f>
        <v>0</v>
      </c>
      <c r="H159" s="431">
        <f>I96*F159+E159</f>
        <v>0</v>
      </c>
      <c r="I159" s="433">
        <f t="shared" si="2"/>
        <v>0</v>
      </c>
      <c r="J159" s="427"/>
      <c r="K159" s="852"/>
      <c r="L159" s="910"/>
      <c r="M159" s="852"/>
      <c r="N159" s="910"/>
      <c r="O159" s="910"/>
      <c r="P159" s="434"/>
    </row>
    <row r="160" spans="3:16" ht="12.75">
      <c r="C160" s="423" t="s">
        <v>141</v>
      </c>
      <c r="D160" s="402"/>
      <c r="E160" s="402">
        <f>SUM(E100:E159)</f>
        <v>0</v>
      </c>
      <c r="F160" s="402"/>
      <c r="G160" s="402">
        <f>SUM(G100:G159)</f>
        <v>0</v>
      </c>
      <c r="H160" s="402">
        <f>SUM(H100:H159)</f>
        <v>0</v>
      </c>
      <c r="I160" s="402">
        <f>SUM(I100:I159)</f>
        <v>0</v>
      </c>
      <c r="J160" s="402"/>
      <c r="K160" s="402"/>
      <c r="L160" s="402"/>
      <c r="M160" s="402"/>
      <c r="N160" s="402"/>
      <c r="O160" s="103"/>
      <c r="P160" s="402"/>
    </row>
    <row r="161" spans="4:16" ht="12.75">
      <c r="D161" s="378"/>
      <c r="E161" s="103"/>
      <c r="F161" s="103"/>
      <c r="G161" s="103"/>
      <c r="H161" s="379"/>
      <c r="I161" s="379"/>
      <c r="J161" s="402"/>
      <c r="K161" s="379"/>
      <c r="L161" s="379"/>
      <c r="M161" s="379"/>
      <c r="N161" s="379"/>
      <c r="O161" s="103"/>
      <c r="P161" s="402"/>
    </row>
    <row r="162" spans="3:16" ht="12.75">
      <c r="C162" s="453" t="s">
        <v>387</v>
      </c>
      <c r="D162" s="378"/>
      <c r="E162" s="103"/>
      <c r="F162" s="103"/>
      <c r="G162" s="103"/>
      <c r="H162" s="379"/>
      <c r="I162" s="379"/>
      <c r="J162" s="402"/>
      <c r="K162" s="379"/>
      <c r="L162" s="379"/>
      <c r="M162" s="379"/>
      <c r="N162" s="379"/>
      <c r="O162" s="103"/>
      <c r="P162" s="402"/>
    </row>
    <row r="163" spans="4:16" ht="12.75">
      <c r="D163" s="378"/>
      <c r="E163" s="103"/>
      <c r="F163" s="103"/>
      <c r="G163" s="103"/>
      <c r="H163" s="379"/>
      <c r="I163" s="379"/>
      <c r="J163" s="402"/>
      <c r="K163" s="379"/>
      <c r="L163" s="379"/>
      <c r="M163" s="379"/>
      <c r="N163" s="379"/>
      <c r="O163" s="103"/>
      <c r="P163" s="402"/>
    </row>
    <row r="164" spans="3:16" ht="12.75">
      <c r="C164" s="405" t="s">
        <v>155</v>
      </c>
      <c r="D164" s="423"/>
      <c r="E164" s="423"/>
      <c r="F164" s="423"/>
      <c r="G164" s="402"/>
      <c r="H164" s="402"/>
      <c r="I164" s="434"/>
      <c r="J164" s="434"/>
      <c r="K164" s="434"/>
      <c r="L164" s="434"/>
      <c r="M164" s="434"/>
      <c r="N164" s="434"/>
      <c r="O164" s="103"/>
      <c r="P164" s="434"/>
    </row>
    <row r="165" spans="3:16" ht="12.75">
      <c r="C165" s="438" t="s">
        <v>388</v>
      </c>
      <c r="D165" s="423"/>
      <c r="E165" s="423"/>
      <c r="F165" s="423"/>
      <c r="G165" s="402"/>
      <c r="H165" s="402"/>
      <c r="I165" s="434"/>
      <c r="J165" s="434"/>
      <c r="K165" s="434"/>
      <c r="L165" s="434"/>
      <c r="M165" s="434"/>
      <c r="N165" s="434"/>
      <c r="O165" s="103"/>
      <c r="P165" s="434"/>
    </row>
    <row r="166" spans="3:16" ht="12.75">
      <c r="C166" s="438" t="s">
        <v>142</v>
      </c>
      <c r="D166" s="423"/>
      <c r="E166" s="423"/>
      <c r="F166" s="423"/>
      <c r="G166" s="402"/>
      <c r="H166" s="402"/>
      <c r="I166" s="434"/>
      <c r="J166" s="434"/>
      <c r="K166" s="434"/>
      <c r="L166" s="434"/>
      <c r="M166" s="434"/>
      <c r="N166" s="434"/>
      <c r="O166" s="103"/>
      <c r="P166" s="434"/>
    </row>
    <row r="167" spans="3:16" ht="12.75">
      <c r="C167" s="438"/>
      <c r="D167" s="423"/>
      <c r="E167" s="423"/>
      <c r="F167" s="423"/>
      <c r="G167" s="402"/>
      <c r="H167" s="402"/>
      <c r="I167" s="434"/>
      <c r="J167" s="434"/>
      <c r="K167" s="434"/>
      <c r="L167" s="434"/>
      <c r="M167" s="434"/>
      <c r="N167" s="434"/>
      <c r="O167" s="103"/>
      <c r="P167" s="434"/>
    </row>
    <row r="168" spans="3:15" ht="12.75">
      <c r="C168" s="1173" t="s">
        <v>472</v>
      </c>
      <c r="D168" s="1173"/>
      <c r="E168" s="1173"/>
      <c r="F168" s="1173"/>
      <c r="G168" s="1173"/>
      <c r="H168" s="1173"/>
      <c r="I168" s="1173"/>
      <c r="J168" s="1173"/>
      <c r="K168" s="1173"/>
      <c r="L168" s="1173"/>
      <c r="M168" s="1173"/>
      <c r="N168" s="1173"/>
      <c r="O168" s="1173"/>
    </row>
    <row r="169" spans="3:15" ht="12.75">
      <c r="C169" s="1173"/>
      <c r="D169" s="1173"/>
      <c r="E169" s="1173"/>
      <c r="F169" s="1173"/>
      <c r="G169" s="1173"/>
      <c r="H169" s="1173"/>
      <c r="I169" s="1173"/>
      <c r="J169" s="1173"/>
      <c r="K169" s="1173"/>
      <c r="L169" s="1173"/>
      <c r="M169" s="1173"/>
      <c r="N169" s="1173"/>
      <c r="O169" s="1173"/>
    </row>
  </sheetData>
  <sheetProtection/>
  <mergeCells count="8">
    <mergeCell ref="C168:O169"/>
    <mergeCell ref="K93:O93"/>
    <mergeCell ref="K20:O21"/>
    <mergeCell ref="A1:O1"/>
    <mergeCell ref="C9:H10"/>
    <mergeCell ref="A2:O2"/>
    <mergeCell ref="A3:O3"/>
    <mergeCell ref="A4:O4"/>
  </mergeCells>
  <conditionalFormatting sqref="C100:C159">
    <cfRule type="cellIs" priority="1" dxfId="0" operator="equal" stopIfTrue="1">
      <formula>$I$93</formula>
    </cfRule>
  </conditionalFormatting>
  <printOptions/>
  <pageMargins left="0.26" right="1.28" top="1" bottom="0.36" header="0.75" footer="0.5"/>
  <pageSetup fitToHeight="2" horizontalDpi="600" verticalDpi="600" orientation="landscape" scale="42" r:id="rId1"/>
  <headerFooter alignWithMargins="0">
    <oddHeader>&amp;R&amp;"Arial,Bold"Formula Rate 
&amp;A
Page &amp;P of &amp;N</oddHeader>
  </headerFooter>
  <rowBreaks count="1" manualBreakCount="1">
    <brk id="80" max="14" man="1"/>
  </rowBreaks>
</worksheet>
</file>

<file path=xl/worksheets/sheet15.xml><?xml version="1.0" encoding="utf-8"?>
<worksheet xmlns="http://schemas.openxmlformats.org/spreadsheetml/2006/main" xmlns:r="http://schemas.openxmlformats.org/officeDocument/2006/relationships">
  <dimension ref="A1:Q167"/>
  <sheetViews>
    <sheetView zoomScalePageLayoutView="0" workbookViewId="0" topLeftCell="A1">
      <selection activeCell="A1" sqref="A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40"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1" t="s">
        <v>282</v>
      </c>
      <c r="B1" s="1141"/>
      <c r="C1" s="1141"/>
      <c r="D1" s="1141"/>
      <c r="E1" s="1141"/>
      <c r="F1" s="1141"/>
      <c r="G1" s="1141"/>
      <c r="H1" s="1141"/>
      <c r="I1" s="1141"/>
      <c r="J1" s="1141"/>
      <c r="K1" s="1141"/>
      <c r="L1" s="1141"/>
      <c r="M1" s="1141"/>
      <c r="N1" s="1141"/>
      <c r="O1" s="1141"/>
      <c r="P1" s="1141"/>
      <c r="Q1" s="135"/>
    </row>
    <row r="2" spans="1:17" ht="15">
      <c r="A2" s="1140" t="str">
        <f>"Cost of Service Formula Rate Using "&amp;'KGPCo Historic TCOS'!O1&amp;" FF1 Balances"</f>
        <v>Cost of Service Formula Rate Using 2011 FF1 Balances</v>
      </c>
      <c r="B2" s="1140"/>
      <c r="C2" s="1140"/>
      <c r="D2" s="1140"/>
      <c r="E2" s="1140"/>
      <c r="F2" s="1140"/>
      <c r="G2" s="1140"/>
      <c r="H2" s="1140"/>
      <c r="I2" s="1140"/>
      <c r="J2" s="1140"/>
      <c r="K2" s="1140"/>
      <c r="L2" s="1140"/>
      <c r="M2" s="1140"/>
      <c r="N2" s="1140"/>
      <c r="O2" s="1140"/>
      <c r="P2" s="1140"/>
      <c r="Q2" s="135"/>
    </row>
    <row r="3" spans="1:17" ht="15">
      <c r="A3" s="1140" t="s">
        <v>378</v>
      </c>
      <c r="B3" s="1140"/>
      <c r="C3" s="1140"/>
      <c r="D3" s="1140"/>
      <c r="E3" s="1140"/>
      <c r="F3" s="1140"/>
      <c r="G3" s="1140"/>
      <c r="H3" s="1140"/>
      <c r="I3" s="1140"/>
      <c r="J3" s="1140"/>
      <c r="K3" s="1140"/>
      <c r="L3" s="1140"/>
      <c r="M3" s="1140"/>
      <c r="N3" s="1140"/>
      <c r="O3" s="1140"/>
      <c r="P3" s="1140"/>
      <c r="Q3" s="135"/>
    </row>
    <row r="4" spans="1:17" ht="15">
      <c r="A4" s="1120" t="str">
        <f>+'KGPCo WS A  - RB Support '!A4:F4</f>
        <v>KINGSPORT POWER COMPANY</v>
      </c>
      <c r="B4" s="1120"/>
      <c r="C4" s="1120"/>
      <c r="D4" s="1120"/>
      <c r="E4" s="1120"/>
      <c r="F4" s="1120"/>
      <c r="G4" s="1120"/>
      <c r="H4" s="1120"/>
      <c r="I4" s="1120"/>
      <c r="J4" s="1120"/>
      <c r="K4" s="1120"/>
      <c r="L4" s="1120"/>
      <c r="M4" s="1120"/>
      <c r="N4" s="1120"/>
      <c r="O4" s="1120"/>
      <c r="P4" s="1120"/>
      <c r="Q4" s="135"/>
    </row>
    <row r="5" ht="12.75">
      <c r="Q5" s="135"/>
    </row>
    <row r="6" spans="1:17" ht="20.25">
      <c r="A6" s="435"/>
      <c r="B6" s="149"/>
      <c r="C6" s="149"/>
      <c r="O6" s="341" t="str">
        <f>"Page "&amp;Q6&amp;" of "</f>
        <v>Page 1 of </v>
      </c>
      <c r="P6" s="342">
        <f>COUNT(Q$6:Q$59661)</f>
        <v>2</v>
      </c>
      <c r="Q6" s="1041">
        <v>1</v>
      </c>
    </row>
    <row r="7" spans="3:17" ht="18">
      <c r="C7" s="345"/>
      <c r="Q7" s="135"/>
    </row>
    <row r="8" ht="12.75">
      <c r="Q8" s="135"/>
    </row>
    <row r="9" spans="2:17" ht="18">
      <c r="B9" s="344" t="s">
        <v>766</v>
      </c>
      <c r="C9" s="1181" t="str">
        <f>"Calculate Return and Income Taxes with "&amp;F15&amp;" basis point ROE increase for Projects Qualified for Regional Billing."</f>
        <v>Calculate Return and Income Taxes with 0 basis point ROE increase for Projects Qualified for Regional Billing.</v>
      </c>
      <c r="D9" s="1165"/>
      <c r="E9" s="1165"/>
      <c r="F9" s="1165"/>
      <c r="G9" s="1165"/>
      <c r="H9" s="1165"/>
      <c r="I9" s="1165"/>
      <c r="Q9" s="135"/>
    </row>
    <row r="10" spans="3:17" ht="18.75" customHeight="1">
      <c r="C10" s="1165"/>
      <c r="D10" s="1165"/>
      <c r="E10" s="1165"/>
      <c r="F10" s="1165"/>
      <c r="G10" s="1165"/>
      <c r="H10" s="1165"/>
      <c r="I10" s="1165"/>
      <c r="Q10" s="135"/>
    </row>
    <row r="11" spans="3:17" ht="15.75" customHeight="1">
      <c r="C11" s="139"/>
      <c r="D11" s="139"/>
      <c r="E11" s="139"/>
      <c r="F11" s="139"/>
      <c r="G11" s="139"/>
      <c r="H11" s="139"/>
      <c r="I11" s="139"/>
      <c r="Q11" s="135"/>
    </row>
    <row r="12" spans="3:17" ht="15.75">
      <c r="C12" s="346" t="str">
        <f>"A.   Determine 'R' with hypothetical "&amp;F15&amp;" basis point increase in ROE for Identified Projects"</f>
        <v>A.   Determine 'R' with hypothetical 0 basis point increase in ROE for Identified Projects</v>
      </c>
      <c r="D12" s="753"/>
      <c r="Q12" s="135"/>
    </row>
    <row r="13" spans="3:17" ht="12.75">
      <c r="C13" s="764"/>
      <c r="D13" s="753"/>
      <c r="Q13" s="135"/>
    </row>
    <row r="14" spans="3:17" ht="12.75">
      <c r="C14" s="347" t="str">
        <f>"   ROE w/o incentives  (True-Up TCOS, ln "&amp;'KGPCo True-UP TCOS'!B257&amp;")"</f>
        <v>   ROE w/o incentives  (True-Up TCOS, ln 164)</v>
      </c>
      <c r="D14" s="753"/>
      <c r="E14" s="348"/>
      <c r="F14" s="569">
        <f>+'KGPCo True-UP TCOS'!J257</f>
        <v>0.1149</v>
      </c>
      <c r="G14" s="569"/>
      <c r="H14" s="348"/>
      <c r="I14" s="349"/>
      <c r="J14" s="349"/>
      <c r="K14" s="350"/>
      <c r="L14" s="349"/>
      <c r="M14" s="349"/>
      <c r="N14" s="349"/>
      <c r="O14" s="349"/>
      <c r="P14" s="349"/>
      <c r="Q14" s="350"/>
    </row>
    <row r="15" spans="3:17" ht="13.5" thickBot="1">
      <c r="C15" s="347" t="s">
        <v>100</v>
      </c>
      <c r="D15" s="753"/>
      <c r="E15" s="348"/>
      <c r="F15" s="859">
        <v>0</v>
      </c>
      <c r="G15" s="348" t="s">
        <v>375</v>
      </c>
      <c r="H15" s="348"/>
      <c r="I15" s="349"/>
      <c r="J15" s="349"/>
      <c r="K15" s="350"/>
      <c r="L15" s="349"/>
      <c r="M15" s="349"/>
      <c r="N15" s="349"/>
      <c r="O15" s="349"/>
      <c r="P15" s="349"/>
      <c r="Q15" s="350"/>
    </row>
    <row r="16" spans="3:17" ht="12.75">
      <c r="C16" s="347" t="str">
        <f>"   ROE with additional "&amp;F15&amp;" basis point incentive"</f>
        <v>   ROE with additional 0 basis point incentive</v>
      </c>
      <c r="D16" s="348"/>
      <c r="E16" s="348"/>
      <c r="F16" s="570">
        <f>IF((F14+(F15/10000)&gt;0.125),"ERROR",F14+(F15/10000))</f>
        <v>0.1149</v>
      </c>
      <c r="G16" s="815" t="str">
        <f>"&lt;== ROE Including Incentives  Cannot Exceed "&amp;12.5&amp;"% Until July 1, 2012"</f>
        <v>&lt;== ROE Including Incentives  Cannot Exceed 12.5% Until July 1, 2012</v>
      </c>
      <c r="H16" s="348"/>
      <c r="I16" s="349"/>
      <c r="J16" s="349"/>
      <c r="K16" s="350"/>
      <c r="L16" s="816" t="s">
        <v>355</v>
      </c>
      <c r="M16" s="352"/>
      <c r="N16" s="352"/>
      <c r="O16" s="352"/>
      <c r="P16" s="353"/>
      <c r="Q16" s="350"/>
    </row>
    <row r="17" spans="3:17" ht="12.75">
      <c r="C17" s="347" t="str">
        <f>"   Determine R  ( cost of long term debt, cost of preferred stock and equity percentage is from the True-Up TCOS, lns "&amp;'KGPCo True-UP TCOS'!B255&amp;" through"&amp;'KGPCo True-UP TCOS'!B257&amp;")"</f>
        <v>   Determine R  ( cost of long term debt, cost of preferred stock and equity percentage is from the True-Up TCOS, lns 162 through164)</v>
      </c>
      <c r="D17" s="753"/>
      <c r="E17" s="348"/>
      <c r="F17" s="351"/>
      <c r="G17" s="351"/>
      <c r="H17" s="348"/>
      <c r="I17" s="349"/>
      <c r="J17" s="349"/>
      <c r="K17" s="350"/>
      <c r="L17" s="817"/>
      <c r="M17" s="350"/>
      <c r="N17" s="350" t="s">
        <v>102</v>
      </c>
      <c r="O17" s="350" t="s">
        <v>103</v>
      </c>
      <c r="P17" s="818" t="s">
        <v>104</v>
      </c>
      <c r="Q17" s="350"/>
    </row>
    <row r="18" spans="3:17" ht="12.75">
      <c r="C18" s="350"/>
      <c r="D18" s="354" t="s">
        <v>741</v>
      </c>
      <c r="E18" s="354" t="s">
        <v>740</v>
      </c>
      <c r="F18" s="355" t="s">
        <v>101</v>
      </c>
      <c r="G18" s="355"/>
      <c r="H18" s="348"/>
      <c r="I18" s="349"/>
      <c r="J18" s="349"/>
      <c r="K18" s="350"/>
      <c r="L18" s="817" t="s">
        <v>353</v>
      </c>
      <c r="M18" s="819">
        <f>+'KGPCo Historic TCOS'!O1</f>
        <v>2011</v>
      </c>
      <c r="N18" s="368"/>
      <c r="O18" s="368"/>
      <c r="P18" s="820"/>
      <c r="Q18" s="350"/>
    </row>
    <row r="19" spans="3:17" ht="12.75">
      <c r="C19" s="356" t="s">
        <v>105</v>
      </c>
      <c r="D19" s="874">
        <f>IF(+'KGPCo True-UP TCOS'!H255=0,'KGPCo True-UP TCOS'!G255,'KGPCo True-UP TCOS'!H255)</f>
        <v>0.412291332652945</v>
      </c>
      <c r="E19" s="357">
        <f>+'KGPCo True-UP TCOS'!J255</f>
        <v>0.0452</v>
      </c>
      <c r="F19" s="582">
        <f>E19*D19</f>
        <v>0.018635568235913114</v>
      </c>
      <c r="G19" s="582"/>
      <c r="H19" s="348"/>
      <c r="I19" s="349"/>
      <c r="J19" s="358"/>
      <c r="K19" s="359"/>
      <c r="L19" s="821"/>
      <c r="M19" s="822" t="s">
        <v>354</v>
      </c>
      <c r="N19" s="823"/>
      <c r="O19" s="823"/>
      <c r="P19" s="824">
        <f>+O19-N19</f>
        <v>0</v>
      </c>
      <c r="Q19" s="359"/>
    </row>
    <row r="20" spans="3:17" ht="13.5" thickBot="1">
      <c r="C20" s="356" t="s">
        <v>106</v>
      </c>
      <c r="D20" s="874">
        <f>IF(+'KGPCo True-UP TCOS'!H256=0,'KGPCo True-UP TCOS'!G256,'KGPCo True-UP TCOS'!H256)</f>
        <v>0</v>
      </c>
      <c r="E20" s="357">
        <f>+'KGPCo True-UP TCOS'!J256</f>
        <v>0</v>
      </c>
      <c r="F20" s="582">
        <f>E20*D20</f>
        <v>0</v>
      </c>
      <c r="G20" s="582"/>
      <c r="H20" s="360"/>
      <c r="I20" s="360"/>
      <c r="J20" s="361"/>
      <c r="K20" s="362"/>
      <c r="L20" s="821"/>
      <c r="M20" s="822" t="s">
        <v>107</v>
      </c>
      <c r="N20" s="825">
        <f>+M89</f>
        <v>0</v>
      </c>
      <c r="O20" s="825">
        <f>+N89</f>
        <v>0</v>
      </c>
      <c r="P20" s="826">
        <f>+O20-N20</f>
        <v>0</v>
      </c>
      <c r="Q20" s="362"/>
    </row>
    <row r="21" spans="3:17" ht="12.75">
      <c r="C21" s="363" t="s">
        <v>91</v>
      </c>
      <c r="D21" s="874">
        <f>IF(+'KGPCo True-UP TCOS'!H257=0,'KGPCo True-UP TCOS'!G257,'KGPCo True-UP TCOS'!H257)</f>
        <v>0.5877086673470551</v>
      </c>
      <c r="E21" s="357">
        <f>+F16</f>
        <v>0.1149</v>
      </c>
      <c r="F21" s="583">
        <f>E21*D21</f>
        <v>0.06752772587817663</v>
      </c>
      <c r="G21" s="583"/>
      <c r="H21" s="360"/>
      <c r="I21" s="360"/>
      <c r="J21" s="361"/>
      <c r="K21" s="362"/>
      <c r="L21" s="821"/>
      <c r="M21" s="822" t="str">
        <f>"True-up of ARR For "&amp;'KGPCo Historic TCOS'!O1&amp;""</f>
        <v>True-up of ARR For 2011</v>
      </c>
      <c r="N21" s="423">
        <f>+N20-N19</f>
        <v>0</v>
      </c>
      <c r="O21" s="423">
        <f>+O20-O19</f>
        <v>0</v>
      </c>
      <c r="P21" s="827">
        <f>+P20-P19</f>
        <v>0</v>
      </c>
      <c r="Q21" s="362"/>
    </row>
    <row r="22" spans="3:17" ht="12.75">
      <c r="C22" s="347"/>
      <c r="D22"/>
      <c r="E22" s="364" t="s">
        <v>108</v>
      </c>
      <c r="F22" s="582">
        <f>SUM(F19:F21)</f>
        <v>0.08616329411408974</v>
      </c>
      <c r="G22" s="582"/>
      <c r="H22" s="360"/>
      <c r="I22" s="360"/>
      <c r="J22" s="361"/>
      <c r="K22" s="362"/>
      <c r="L22" s="821"/>
      <c r="M22" s="368"/>
      <c r="N22" s="368"/>
      <c r="O22" s="368"/>
      <c r="P22" s="820"/>
      <c r="Q22" s="362"/>
    </row>
    <row r="23" spans="3:17" ht="13.5" thickBot="1">
      <c r="C23" s="764"/>
      <c r="D23" s="365"/>
      <c r="E23" s="365"/>
      <c r="F23" s="360"/>
      <c r="G23" s="360"/>
      <c r="H23" s="360"/>
      <c r="I23" s="360"/>
      <c r="J23" s="360"/>
      <c r="K23" s="366"/>
      <c r="L23" s="828"/>
      <c r="M23" s="829"/>
      <c r="N23" s="830"/>
      <c r="O23" s="830"/>
      <c r="P23" s="826"/>
      <c r="Q23" s="366"/>
    </row>
    <row r="24" spans="3:17" ht="15.75">
      <c r="C24" s="346" t="str">
        <f>"B.   Determine Return using 'R' with hypothetical "&amp;F15&amp;" basis point ROE increase for Identified Projects."</f>
        <v>B.   Determine Return using 'R' with hypothetical 0 basis point ROE increase for Identified Projects.</v>
      </c>
      <c r="D24" s="365"/>
      <c r="E24" s="365"/>
      <c r="F24" s="367"/>
      <c r="G24" s="367"/>
      <c r="H24" s="360"/>
      <c r="I24" s="348"/>
      <c r="J24" s="360"/>
      <c r="K24" s="366"/>
      <c r="L24" s="360"/>
      <c r="M24" s="360"/>
      <c r="N24" s="360"/>
      <c r="O24" s="360"/>
      <c r="P24" s="360"/>
      <c r="Q24" s="366"/>
    </row>
    <row r="25" spans="3:17" ht="12.75">
      <c r="C25" s="350"/>
      <c r="D25" s="365"/>
      <c r="E25" s="365"/>
      <c r="F25" s="366"/>
      <c r="G25" s="366"/>
      <c r="H25" s="366"/>
      <c r="I25" s="366"/>
      <c r="J25" s="366"/>
      <c r="K25" s="366"/>
      <c r="L25" s="366"/>
      <c r="M25" s="366"/>
      <c r="N25" s="366"/>
      <c r="O25" s="366"/>
      <c r="P25" s="366"/>
      <c r="Q25" s="366"/>
    </row>
    <row r="26" spans="3:17" ht="12.75">
      <c r="C26" s="347" t="str">
        <f>"   Rate Base  (True-Up TCOS, ln "&amp;'KGPCo True-UP TCOS'!B128&amp;")"</f>
        <v>   Rate Base  (True-Up TCOS, ln 78)</v>
      </c>
      <c r="D26" s="348"/>
      <c r="E26" s="369">
        <f>+'KGPCo True-UP TCOS'!L128</f>
        <v>8094809.967230639</v>
      </c>
      <c r="F26" s="370"/>
      <c r="G26" s="370"/>
      <c r="H26" s="366"/>
      <c r="I26" s="366"/>
      <c r="J26" s="366"/>
      <c r="K26" s="366"/>
      <c r="L26" s="366"/>
      <c r="M26" s="366"/>
      <c r="N26" s="366"/>
      <c r="O26" s="366"/>
      <c r="P26" s="370"/>
      <c r="Q26" s="366"/>
    </row>
    <row r="27" spans="3:17" ht="12.75">
      <c r="C27" s="350" t="s">
        <v>395</v>
      </c>
      <c r="D27" s="371"/>
      <c r="E27" s="582">
        <f>F22</f>
        <v>0.08616329411408974</v>
      </c>
      <c r="F27" s="366"/>
      <c r="G27" s="366"/>
      <c r="H27" s="366"/>
      <c r="I27" s="366"/>
      <c r="J27" s="366"/>
      <c r="K27" s="366"/>
      <c r="L27" s="366"/>
      <c r="M27" s="366"/>
      <c r="N27" s="366"/>
      <c r="O27" s="366"/>
      <c r="P27" s="366"/>
      <c r="Q27" s="366"/>
    </row>
    <row r="28" spans="3:17" ht="12.75">
      <c r="C28" s="372" t="s">
        <v>110</v>
      </c>
      <c r="D28" s="372"/>
      <c r="E28" s="361">
        <f>E26*E27</f>
        <v>697475.4920041587</v>
      </c>
      <c r="F28" s="366"/>
      <c r="G28" s="366"/>
      <c r="H28" s="366"/>
      <c r="I28" s="366"/>
      <c r="J28" s="362"/>
      <c r="K28" s="362"/>
      <c r="L28" s="362"/>
      <c r="M28" s="362"/>
      <c r="N28" s="362"/>
      <c r="O28" s="362"/>
      <c r="P28" s="366"/>
      <c r="Q28" s="362"/>
    </row>
    <row r="29" spans="3:17" ht="12.75">
      <c r="C29" s="373"/>
      <c r="D29" s="349"/>
      <c r="E29" s="349"/>
      <c r="F29" s="366"/>
      <c r="G29" s="366"/>
      <c r="H29" s="366"/>
      <c r="I29" s="366"/>
      <c r="J29" s="362"/>
      <c r="K29" s="362"/>
      <c r="L29" s="362"/>
      <c r="M29" s="362"/>
      <c r="N29" s="362"/>
      <c r="O29" s="362"/>
      <c r="P29" s="366"/>
      <c r="Q29" s="362"/>
    </row>
    <row r="30" spans="3:17" ht="15.75">
      <c r="C30" s="346" t="str">
        <f>"C.   Determine Income Taxes using Return with hypothetical "&amp;F15&amp;" basis point ROE increase for Identified Projects."</f>
        <v>C.   Determine Income Taxes using Return with hypothetical 0 basis point ROE increase for Identified Projects.</v>
      </c>
      <c r="D30" s="374"/>
      <c r="E30" s="374"/>
      <c r="F30" s="375"/>
      <c r="G30" s="375"/>
      <c r="H30" s="375"/>
      <c r="I30" s="375"/>
      <c r="J30" s="376"/>
      <c r="K30" s="376"/>
      <c r="L30" s="376"/>
      <c r="M30" s="376"/>
      <c r="N30" s="376"/>
      <c r="O30" s="376"/>
      <c r="P30" s="375"/>
      <c r="Q30" s="376"/>
    </row>
    <row r="31" spans="3:17" ht="12.75">
      <c r="C31" s="347"/>
      <c r="D31" s="349"/>
      <c r="E31" s="349"/>
      <c r="F31" s="366"/>
      <c r="G31" s="366"/>
      <c r="H31" s="366"/>
      <c r="I31" s="366"/>
      <c r="J31" s="362"/>
      <c r="K31" s="362"/>
      <c r="L31" s="362"/>
      <c r="M31" s="362"/>
      <c r="N31" s="362"/>
      <c r="O31" s="362"/>
      <c r="P31" s="366"/>
      <c r="Q31" s="362"/>
    </row>
    <row r="32" spans="3:17" ht="12.75">
      <c r="C32" s="350" t="s">
        <v>112</v>
      </c>
      <c r="D32" s="364"/>
      <c r="E32" s="377">
        <f>E28</f>
        <v>697475.4920041587</v>
      </c>
      <c r="F32" s="366"/>
      <c r="G32" s="366"/>
      <c r="H32" s="366"/>
      <c r="I32" s="366"/>
      <c r="J32" s="366"/>
      <c r="K32" s="366"/>
      <c r="L32" s="366"/>
      <c r="M32" s="366"/>
      <c r="N32" s="366"/>
      <c r="O32" s="366"/>
      <c r="P32" s="366"/>
      <c r="Q32" s="366"/>
    </row>
    <row r="33" spans="3:17" ht="12.75">
      <c r="C33" s="347" t="str">
        <f>"   Effective Tax Rate  (True-Up TCOS, ln "&amp;'KGPCo True-UP TCOS'!B195&amp;")"</f>
        <v>   Effective Tax Rate  (True-Up TCOS, ln 126)</v>
      </c>
      <c r="D33" s="378"/>
      <c r="E33" s="397">
        <f>+'KGPCo True-UP TCOS'!G195</f>
        <v>0.5056842130200995</v>
      </c>
      <c r="F33" s="103"/>
      <c r="G33" s="103"/>
      <c r="H33" s="103"/>
      <c r="I33" s="379"/>
      <c r="J33" s="103"/>
      <c r="K33" s="368"/>
      <c r="Q33" s="368"/>
    </row>
    <row r="34" spans="3:17" ht="12.75">
      <c r="C34" s="373" t="s">
        <v>113</v>
      </c>
      <c r="D34" s="378"/>
      <c r="E34" s="380">
        <f>E32*E33</f>
        <v>352702.34527492966</v>
      </c>
      <c r="F34" s="103"/>
      <c r="G34" s="103"/>
      <c r="H34" s="103"/>
      <c r="I34" s="379"/>
      <c r="J34" s="103"/>
      <c r="K34" s="368"/>
      <c r="Q34" s="368"/>
    </row>
    <row r="35" spans="3:17" ht="15">
      <c r="C35" s="347" t="s">
        <v>157</v>
      </c>
      <c r="D35" s="72"/>
      <c r="E35" s="381">
        <f>+'KGPCo True-UP TCOS'!L202</f>
        <v>0</v>
      </c>
      <c r="F35" s="72"/>
      <c r="G35" s="72"/>
      <c r="H35" s="72"/>
      <c r="I35" s="72"/>
      <c r="J35" s="72"/>
      <c r="K35" s="72"/>
      <c r="L35" s="72"/>
      <c r="M35" s="72"/>
      <c r="N35" s="72"/>
      <c r="O35" s="72"/>
      <c r="P35" s="41"/>
      <c r="Q35" s="72"/>
    </row>
    <row r="36" spans="3:17" ht="15">
      <c r="C36" s="373" t="s">
        <v>117</v>
      </c>
      <c r="D36" s="72"/>
      <c r="E36" s="381">
        <f>E34+E35</f>
        <v>352702.34527492966</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44" t="s">
        <v>767</v>
      </c>
      <c r="C38" s="345"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5" t="str">
        <f>"basis point ROE increase."</f>
        <v>basis point ROE increase.</v>
      </c>
      <c r="D39" s="72"/>
      <c r="E39" s="72"/>
      <c r="F39" s="72"/>
      <c r="G39" s="72"/>
      <c r="H39" s="72"/>
      <c r="I39" s="72"/>
      <c r="J39" s="72"/>
      <c r="K39" s="72"/>
      <c r="L39" s="72"/>
      <c r="M39" s="72"/>
      <c r="N39" s="72"/>
      <c r="O39" s="72"/>
      <c r="P39" s="130"/>
      <c r="Q39" s="72"/>
    </row>
    <row r="40" spans="3:17" ht="12.75" customHeight="1">
      <c r="C40" s="345"/>
      <c r="D40" s="72"/>
      <c r="E40" s="72"/>
      <c r="F40" s="72"/>
      <c r="G40" s="72"/>
      <c r="H40" s="72"/>
      <c r="I40" s="72"/>
      <c r="J40" s="72"/>
      <c r="K40" s="72"/>
      <c r="L40" s="72"/>
      <c r="M40" s="72"/>
      <c r="N40" s="72"/>
      <c r="O40" s="72"/>
      <c r="P40" s="130"/>
      <c r="Q40" s="72"/>
    </row>
    <row r="41" spans="3:17" ht="15.75">
      <c r="C41" s="346" t="s">
        <v>370</v>
      </c>
      <c r="D41" s="72"/>
      <c r="E41" s="72"/>
      <c r="F41" s="71"/>
      <c r="G41" s="71"/>
      <c r="H41" s="72"/>
      <c r="I41" s="72"/>
      <c r="J41" s="72"/>
      <c r="K41" s="72"/>
      <c r="L41" s="72"/>
      <c r="M41" s="72"/>
      <c r="N41" s="72"/>
      <c r="O41" s="72"/>
      <c r="P41" s="130"/>
      <c r="Q41" s="72"/>
    </row>
    <row r="42" spans="2:17" ht="12.75">
      <c r="B42" s="103"/>
      <c r="C42" s="382"/>
      <c r="D42" s="383"/>
      <c r="E42" s="383"/>
      <c r="F42" s="383"/>
      <c r="G42" s="383"/>
      <c r="H42" s="383"/>
      <c r="I42" s="383"/>
      <c r="J42" s="383"/>
      <c r="K42" s="383"/>
      <c r="L42" s="383"/>
      <c r="M42" s="383"/>
      <c r="N42" s="383"/>
      <c r="O42" s="383"/>
      <c r="P42" s="381"/>
      <c r="Q42" s="383"/>
    </row>
    <row r="43" spans="2:17" ht="12.75" customHeight="1">
      <c r="B43" s="103"/>
      <c r="C43" s="347" t="str">
        <f>"   Annual Revenue Requirement  (True-Up TCOS, ln "&amp;'KGPCo True-UP TCOS'!B11&amp;")"</f>
        <v>   Annual Revenue Requirement  (True-Up TCOS, ln 1)</v>
      </c>
      <c r="D43" s="383"/>
      <c r="E43" s="383"/>
      <c r="F43" s="381">
        <f>+'KGPCo True-UP TCOS'!L11</f>
        <v>2490593.4632378435</v>
      </c>
      <c r="G43" s="381"/>
      <c r="H43" s="437" t="s">
        <v>709</v>
      </c>
      <c r="I43" s="383"/>
      <c r="J43" s="383"/>
      <c r="K43" s="383"/>
      <c r="L43" s="383"/>
      <c r="M43" s="383"/>
      <c r="N43" s="383"/>
      <c r="O43" s="383"/>
      <c r="P43" s="381"/>
      <c r="Q43" s="383"/>
    </row>
    <row r="44" spans="2:17" ht="12.75" customHeight="1">
      <c r="B44" s="103"/>
      <c r="C44" s="347" t="str">
        <f>"   T.E.A. &amp; Lease Payments (True-Up TCOS, Lns "&amp;'KGPCo True-UP TCOS'!B171&amp;" &amp; "&amp;'KGPCo True-UP TCOS'!B172&amp;")"</f>
        <v>   T.E.A. &amp; Lease Payments (True-Up TCOS, Lns 105 &amp; 106)</v>
      </c>
      <c r="D44" s="383"/>
      <c r="E44" s="383"/>
      <c r="F44" s="381">
        <f>+'KGPCo True-UP TCOS'!L171+'KGPCo True-UP TCOS'!L172</f>
        <v>0</v>
      </c>
      <c r="G44" s="381"/>
      <c r="H44" s="437"/>
      <c r="I44" s="383"/>
      <c r="J44" s="383"/>
      <c r="K44" s="383"/>
      <c r="L44" s="383"/>
      <c r="M44" s="383"/>
      <c r="N44" s="383"/>
      <c r="O44" s="383"/>
      <c r="P44" s="381"/>
      <c r="Q44" s="383"/>
    </row>
    <row r="45" spans="2:17" ht="12.75">
      <c r="B45" s="103"/>
      <c r="C45" s="347" t="str">
        <f>"   Return  (True-Up TCOS, ln "&amp;'KGPCo True-UP TCOS'!B205&amp;")"</f>
        <v>   Return  (True-Up TCOS, ln 134)</v>
      </c>
      <c r="D45" s="383"/>
      <c r="E45" s="383"/>
      <c r="F45" s="384">
        <f>+'KGPCo True-UP TCOS'!L205</f>
        <v>697475.4920041587</v>
      </c>
      <c r="G45" s="384"/>
      <c r="H45" s="385"/>
      <c r="I45" s="385"/>
      <c r="J45" s="385"/>
      <c r="K45" s="385"/>
      <c r="L45" s="385"/>
      <c r="M45" s="385"/>
      <c r="N45" s="385"/>
      <c r="O45" s="385"/>
      <c r="P45" s="381"/>
      <c r="Q45" s="385"/>
    </row>
    <row r="46" spans="2:17" ht="12.75">
      <c r="B46" s="103"/>
      <c r="C46" s="347" t="str">
        <f>"   Income Taxes  (True-Up TCOS, ln "&amp;'KGPCo True-UP TCOS'!B203&amp;")"</f>
        <v>   Income Taxes  (True-Up TCOS, ln 133)</v>
      </c>
      <c r="D46" s="383"/>
      <c r="E46" s="383"/>
      <c r="F46" s="386">
        <f>+'KGPCo True-UP TCOS'!L203</f>
        <v>352702.34527492966</v>
      </c>
      <c r="G46" s="386"/>
      <c r="H46" s="383"/>
      <c r="I46" s="383"/>
      <c r="J46" s="387"/>
      <c r="K46" s="387"/>
      <c r="L46" s="387"/>
      <c r="M46" s="387"/>
      <c r="N46" s="387"/>
      <c r="O46" s="387"/>
      <c r="P46" s="383"/>
      <c r="Q46" s="387"/>
    </row>
    <row r="47" spans="2:17" ht="12.75">
      <c r="B47" s="103"/>
      <c r="C47" s="1182" t="s">
        <v>369</v>
      </c>
      <c r="D47" s="1165"/>
      <c r="E47" s="383"/>
      <c r="F47" s="384">
        <f>F43-F45-F46-F44</f>
        <v>1440415.6259587551</v>
      </c>
      <c r="G47" s="384"/>
      <c r="H47" s="388"/>
      <c r="I47" s="383"/>
      <c r="J47" s="388"/>
      <c r="K47" s="388"/>
      <c r="L47" s="388"/>
      <c r="M47" s="388"/>
      <c r="N47" s="388"/>
      <c r="O47" s="388"/>
      <c r="P47" s="388"/>
      <c r="Q47" s="388"/>
    </row>
    <row r="48" spans="2:17" ht="12.75">
      <c r="B48" s="103"/>
      <c r="C48" s="1165"/>
      <c r="D48" s="1165"/>
      <c r="E48" s="383"/>
      <c r="F48" s="381"/>
      <c r="G48" s="381"/>
      <c r="H48" s="389"/>
      <c r="I48" s="390"/>
      <c r="J48" s="390"/>
      <c r="K48" s="390"/>
      <c r="L48" s="390"/>
      <c r="M48" s="390"/>
      <c r="N48" s="390"/>
      <c r="O48" s="390"/>
      <c r="P48" s="390"/>
      <c r="Q48" s="390"/>
    </row>
    <row r="49" spans="2:17" ht="15.75">
      <c r="B49" s="103"/>
      <c r="C49" s="346" t="str">
        <f>"B.   Determine Annual Revenue Requirement with hypothetical "&amp;F15&amp;" basis point increase in ROE."</f>
        <v>B.   Determine Annual Revenue Requirement with hypothetical 0 basis point increase in ROE.</v>
      </c>
      <c r="D49" s="391"/>
      <c r="E49" s="391"/>
      <c r="F49" s="381"/>
      <c r="G49" s="381"/>
      <c r="H49" s="389"/>
      <c r="I49" s="390"/>
      <c r="J49" s="390"/>
      <c r="K49" s="390"/>
      <c r="L49" s="390"/>
      <c r="M49" s="390"/>
      <c r="N49" s="390"/>
      <c r="O49" s="390"/>
      <c r="P49" s="390"/>
      <c r="Q49" s="390"/>
    </row>
    <row r="50" spans="2:17" ht="12.75">
      <c r="B50" s="103"/>
      <c r="C50" s="382"/>
      <c r="D50" s="391"/>
      <c r="E50" s="391"/>
      <c r="F50" s="381"/>
      <c r="G50" s="381"/>
      <c r="H50" s="389"/>
      <c r="I50" s="390"/>
      <c r="J50" s="390"/>
      <c r="K50" s="390"/>
      <c r="L50" s="390"/>
      <c r="M50" s="390"/>
      <c r="N50" s="390"/>
      <c r="O50" s="390"/>
      <c r="P50" s="390"/>
      <c r="Q50" s="390"/>
    </row>
    <row r="51" spans="2:17" ht="12.75">
      <c r="B51" s="103"/>
      <c r="C51" s="382" t="str">
        <f>C47</f>
        <v>   Annual Revenue Requirement, Less TEA Charges, Return and Taxes</v>
      </c>
      <c r="D51" s="391"/>
      <c r="E51" s="391"/>
      <c r="F51" s="381">
        <f>F47</f>
        <v>1440415.6259587551</v>
      </c>
      <c r="G51" s="381"/>
      <c r="H51" s="383"/>
      <c r="I51" s="383"/>
      <c r="J51" s="383"/>
      <c r="K51" s="383"/>
      <c r="L51" s="383"/>
      <c r="M51" s="383"/>
      <c r="N51" s="383"/>
      <c r="O51" s="383"/>
      <c r="P51" s="392"/>
      <c r="Q51" s="383"/>
    </row>
    <row r="52" spans="2:17" ht="12.75">
      <c r="B52" s="103"/>
      <c r="C52" s="350" t="s">
        <v>152</v>
      </c>
      <c r="D52" s="393"/>
      <c r="E52" s="105"/>
      <c r="F52" s="394">
        <f>E28</f>
        <v>697475.4920041587</v>
      </c>
      <c r="G52" s="394"/>
      <c r="H52" s="105"/>
      <c r="I52" s="395"/>
      <c r="J52" s="105"/>
      <c r="K52" s="105"/>
      <c r="L52" s="105"/>
      <c r="M52" s="105"/>
      <c r="N52" s="105"/>
      <c r="O52" s="105"/>
      <c r="P52" s="105"/>
      <c r="Q52" s="105"/>
    </row>
    <row r="53" spans="2:17" ht="12.75" customHeight="1">
      <c r="B53" s="103"/>
      <c r="C53" s="347" t="s">
        <v>118</v>
      </c>
      <c r="D53" s="383"/>
      <c r="E53" s="383"/>
      <c r="F53" s="386">
        <f>E36</f>
        <v>352702.34527492966</v>
      </c>
      <c r="G53" s="386"/>
      <c r="H53" s="103"/>
      <c r="I53" s="379"/>
      <c r="J53" s="103"/>
      <c r="K53" s="368"/>
      <c r="Q53" s="368"/>
    </row>
    <row r="54" spans="2:17" ht="12.75">
      <c r="B54" s="103"/>
      <c r="C54" s="105" t="str">
        <f>"   Annual Revenue Requirement, with "&amp;F15&amp;" Basis Point ROE increase"</f>
        <v>   Annual Revenue Requirement, with 0 Basis Point ROE increase</v>
      </c>
      <c r="D54" s="378"/>
      <c r="E54" s="103"/>
      <c r="F54" s="380">
        <f>SUM(F51:F53)</f>
        <v>2490593.4632378435</v>
      </c>
      <c r="G54" s="380"/>
      <c r="H54" s="103"/>
      <c r="I54" s="379"/>
      <c r="J54" s="103"/>
      <c r="K54" s="368"/>
      <c r="Q54" s="368"/>
    </row>
    <row r="55" spans="2:17" ht="12.75">
      <c r="B55" s="103"/>
      <c r="C55" s="347" t="str">
        <f>"   Depreciation  (True-Up TCOS, ln "&amp;'KGPCo True-UP TCOS'!B178&amp;")"</f>
        <v>   Depreciation  (True-Up TCOS, ln 111)</v>
      </c>
      <c r="D55" s="378"/>
      <c r="E55" s="103"/>
      <c r="F55" s="396">
        <f>+'KGPCo True-UP TCOS'!L178</f>
        <v>487251</v>
      </c>
      <c r="G55" s="396"/>
      <c r="H55" s="380"/>
      <c r="I55" s="379"/>
      <c r="J55" s="103"/>
      <c r="K55" s="368"/>
      <c r="Q55" s="368"/>
    </row>
    <row r="56" spans="2:17" ht="12.75">
      <c r="B56" s="103"/>
      <c r="C56" s="1182" t="str">
        <f>"   Annual Rev. Req, w/ "&amp;F15&amp;" Basis Point ROE increase, less Depreciation"</f>
        <v>   Annual Rev. Req, w/ 0 Basis Point ROE increase, less Depreciation</v>
      </c>
      <c r="D56" s="1165"/>
      <c r="E56" s="103"/>
      <c r="F56" s="380">
        <f>F54-F55</f>
        <v>2003342.4632378435</v>
      </c>
      <c r="G56" s="380"/>
      <c r="H56" s="103"/>
      <c r="I56" s="379"/>
      <c r="J56" s="103"/>
      <c r="K56" s="368"/>
      <c r="Q56" s="368"/>
    </row>
    <row r="57" spans="2:17" ht="12.75">
      <c r="B57" s="103"/>
      <c r="C57" s="1165"/>
      <c r="D57" s="1165"/>
      <c r="E57" s="103"/>
      <c r="F57" s="103"/>
      <c r="G57" s="103"/>
      <c r="H57" s="103"/>
      <c r="I57" s="379"/>
      <c r="J57" s="103"/>
      <c r="K57" s="368"/>
      <c r="Q57" s="368"/>
    </row>
    <row r="58" spans="2:17" ht="15.75">
      <c r="B58" s="103"/>
      <c r="C58" s="346" t="str">
        <f>"C.   Determine FCR with hypothetical "&amp;F15&amp;" basis point ROE increase."</f>
        <v>C.   Determine FCR with hypothetical 0 basis point ROE increase.</v>
      </c>
      <c r="D58" s="378"/>
      <c r="E58" s="103"/>
      <c r="F58" s="103"/>
      <c r="G58" s="103"/>
      <c r="H58" s="103"/>
      <c r="I58" s="379"/>
      <c r="J58" s="103"/>
      <c r="K58" s="368"/>
      <c r="Q58" s="368"/>
    </row>
    <row r="59" spans="2:17" ht="12.75">
      <c r="B59" s="103"/>
      <c r="C59" s="103"/>
      <c r="D59" s="378"/>
      <c r="E59" s="103"/>
      <c r="F59" s="103"/>
      <c r="G59" s="103"/>
      <c r="H59" s="103"/>
      <c r="I59" s="379"/>
      <c r="J59" s="103"/>
      <c r="K59" s="368"/>
      <c r="Q59" s="368"/>
    </row>
    <row r="60" spans="2:17" ht="12.75">
      <c r="B60" s="103"/>
      <c r="C60" s="347" t="str">
        <f>"   Net Transmission Plant  (True-Up TCOS, ln "&amp;'KGPCo True-UP TCOS'!B91&amp;")"</f>
        <v>   Net Transmission Plant  (True-Up TCOS, ln 48)</v>
      </c>
      <c r="D60" s="378"/>
      <c r="E60" s="103"/>
      <c r="F60" s="380">
        <f>+'KGPCo True-UP TCOS'!L91</f>
        <v>9597928</v>
      </c>
      <c r="G60" s="380"/>
      <c r="H60" s="380"/>
      <c r="I60" s="686"/>
      <c r="J60" s="103"/>
      <c r="K60" s="368"/>
      <c r="Q60" s="368"/>
    </row>
    <row r="61" spans="2:17" ht="12.75">
      <c r="B61" s="103"/>
      <c r="C61" s="105" t="str">
        <f>"   Annual Revenue Requirement, with "&amp;F15&amp;" Basis Point ROE increase"</f>
        <v>   Annual Revenue Requirement, with 0 Basis Point ROE increase</v>
      </c>
      <c r="D61" s="378"/>
      <c r="E61" s="103"/>
      <c r="F61" s="380">
        <f>F54</f>
        <v>2490593.4632378435</v>
      </c>
      <c r="G61" s="380"/>
      <c r="H61" s="103"/>
      <c r="I61" s="379"/>
      <c r="J61" s="103"/>
      <c r="K61" s="368"/>
      <c r="Q61" s="368"/>
    </row>
    <row r="62" spans="2:17" ht="12.75">
      <c r="B62" s="103"/>
      <c r="C62" s="105" t="str">
        <f>"   FCR with "&amp;F15&amp;" Basis Point increase in ROE"</f>
        <v>   FCR with 0 Basis Point increase in ROE</v>
      </c>
      <c r="D62" s="378"/>
      <c r="E62" s="103"/>
      <c r="F62" s="397">
        <f>F61/F60</f>
        <v>0.2594928262889494</v>
      </c>
      <c r="G62" s="397"/>
      <c r="H62" s="397"/>
      <c r="I62" s="379"/>
      <c r="J62" s="103"/>
      <c r="K62" s="368"/>
      <c r="Q62" s="368"/>
    </row>
    <row r="63" spans="2:17" ht="12.75">
      <c r="B63" s="103"/>
      <c r="C63" s="764"/>
      <c r="D63" s="378"/>
      <c r="E63" s="103"/>
      <c r="F63" s="102"/>
      <c r="G63" s="102"/>
      <c r="H63" s="103"/>
      <c r="I63" s="379"/>
      <c r="J63" s="103"/>
      <c r="K63" s="368"/>
      <c r="Q63" s="368"/>
    </row>
    <row r="64" spans="2:17" ht="12.75">
      <c r="B64" s="103"/>
      <c r="C64" s="105" t="str">
        <f>"   Annual Rev. Req, w / "&amp;F15&amp;" Basis Point ROE increase, less Dep."</f>
        <v>   Annual Rev. Req, w / 0 Basis Point ROE increase, less Dep.</v>
      </c>
      <c r="D64" s="378"/>
      <c r="E64" s="103"/>
      <c r="F64" s="380">
        <f>F56</f>
        <v>2003342.4632378435</v>
      </c>
      <c r="G64" s="380"/>
      <c r="H64" s="103"/>
      <c r="I64" s="379"/>
      <c r="J64" s="103"/>
      <c r="K64" s="368"/>
      <c r="Q64" s="368"/>
    </row>
    <row r="65" spans="2:17" ht="12.75">
      <c r="B65" s="103"/>
      <c r="C65" s="105" t="str">
        <f>"   FCR with "&amp;F15&amp;" Basis Point ROE increase, less Depreciation"</f>
        <v>   FCR with 0 Basis Point ROE increase, less Depreciation</v>
      </c>
      <c r="D65" s="378"/>
      <c r="E65" s="103"/>
      <c r="F65" s="397">
        <f>F64/F60</f>
        <v>0.20872655673577084</v>
      </c>
      <c r="G65" s="397"/>
      <c r="H65" s="103"/>
      <c r="I65" s="379"/>
      <c r="J65" s="103"/>
      <c r="K65" s="368"/>
      <c r="Q65" s="368"/>
    </row>
    <row r="66" spans="2:17" ht="12.75">
      <c r="B66" s="103"/>
      <c r="C66" s="347" t="str">
        <f>"   FCR less Depreciation  (True-Up TCOS, ln "&amp;'KGPCo True-UP TCOS'!B27&amp;")"</f>
        <v>   FCR less Depreciation  (True-Up TCOS, ln 9)</v>
      </c>
      <c r="D66" s="378"/>
      <c r="E66" s="103"/>
      <c r="F66" s="398">
        <f>+'KGPCo True-UP TCOS'!L27</f>
        <v>0.20872655673577084</v>
      </c>
      <c r="G66" s="398"/>
      <c r="H66" s="103"/>
      <c r="I66" s="379"/>
      <c r="J66" s="103"/>
      <c r="K66" s="368"/>
      <c r="Q66" s="368"/>
    </row>
    <row r="67" spans="2:17" ht="12.75">
      <c r="B67" s="103"/>
      <c r="C67" s="1182" t="str">
        <f>"   Incremental FCR with "&amp;F15&amp;" Basis Point ROE increase, less Depreciation"</f>
        <v>   Incremental FCR with 0 Basis Point ROE increase, less Depreciation</v>
      </c>
      <c r="D67" s="1165"/>
      <c r="E67" s="103"/>
      <c r="F67" s="397">
        <f>F65-F66</f>
        <v>0</v>
      </c>
      <c r="G67" s="397"/>
      <c r="H67" s="103"/>
      <c r="I67" s="379"/>
      <c r="J67" s="103"/>
      <c r="K67" s="368"/>
      <c r="Q67" s="368"/>
    </row>
    <row r="68" spans="2:17" ht="12.75">
      <c r="B68" s="103"/>
      <c r="C68" s="1165"/>
      <c r="D68" s="1165"/>
      <c r="E68" s="103"/>
      <c r="F68" s="397"/>
      <c r="G68" s="397"/>
      <c r="H68" s="103"/>
      <c r="I68" s="379"/>
      <c r="J68" s="103"/>
      <c r="K68" s="368"/>
      <c r="Q68" s="368"/>
    </row>
    <row r="69" spans="2:17" ht="18.75">
      <c r="B69" s="344" t="s">
        <v>768</v>
      </c>
      <c r="C69" s="345" t="s">
        <v>119</v>
      </c>
      <c r="D69" s="378"/>
      <c r="E69" s="103"/>
      <c r="F69" s="397"/>
      <c r="G69" s="397"/>
      <c r="H69" s="103"/>
      <c r="I69" s="379"/>
      <c r="J69" s="103"/>
      <c r="K69" s="368"/>
      <c r="Q69" s="368"/>
    </row>
    <row r="70" spans="2:17" ht="12.75">
      <c r="B70" s="103"/>
      <c r="C70" s="105"/>
      <c r="D70" s="378"/>
      <c r="E70" s="103"/>
      <c r="F70" s="397"/>
      <c r="G70" s="397"/>
      <c r="H70" s="103"/>
      <c r="I70" s="379"/>
      <c r="J70" s="103"/>
      <c r="K70" s="368"/>
      <c r="Q70" s="368"/>
    </row>
    <row r="71" spans="2:17" ht="12.75">
      <c r="B71" s="103"/>
      <c r="C71" s="105" t="str">
        <f>"Transmission Plant @ Beginning of Historic Period ("&amp;'KGPCo True-UP TCOS'!N77&amp;") (P.206, ln 58,(b)):"</f>
        <v>Transmission Plant @ Beginning of Historic Period () (P.206, ln 58,(b)):</v>
      </c>
      <c r="D71" s="378"/>
      <c r="H71" s="509">
        <f>+'KGPCo WS A  - RB Support '!F18</f>
        <v>19006058</v>
      </c>
      <c r="J71" s="103"/>
      <c r="K71" s="368"/>
      <c r="Q71" s="368"/>
    </row>
    <row r="72" spans="2:17" ht="12.75">
      <c r="B72" s="103"/>
      <c r="C72" s="105" t="str">
        <f>"Transmission Plant @ End of Historic Period ("&amp;'KGPCo True-UP TCOS'!N77&amp;") (P.207, ln 58,(g)):"</f>
        <v>Transmission Plant @ End of Historic Period () (P.207, ln 58,(g)):</v>
      </c>
      <c r="D72" s="378"/>
      <c r="H72" s="545">
        <f>+'KGPCo WS A  - RB Support '!E18</f>
        <v>20264445</v>
      </c>
      <c r="J72" s="103"/>
      <c r="K72" s="368"/>
      <c r="Q72" s="368"/>
    </row>
    <row r="73" spans="2:17" ht="12.75">
      <c r="B73" s="103"/>
      <c r="C73" s="105" t="s">
        <v>386</v>
      </c>
      <c r="D73" s="378"/>
      <c r="H73" s="379">
        <f>+H72+H71</f>
        <v>39270503</v>
      </c>
      <c r="J73" s="103"/>
      <c r="K73" s="368"/>
      <c r="Q73" s="368"/>
    </row>
    <row r="74" spans="2:17" ht="12.75">
      <c r="B74" s="103"/>
      <c r="C74" s="105" t="str">
        <f>+"Average Transmission Plant Balance for "&amp;'KGPCo True-UP TCOS'!O1&amp;""</f>
        <v>Average Transmission Plant Balance for </v>
      </c>
      <c r="D74" s="378"/>
      <c r="H74" s="379">
        <f>+H73/2</f>
        <v>19635251.5</v>
      </c>
      <c r="J74" s="103"/>
      <c r="K74" s="368"/>
      <c r="Q74" s="368"/>
    </row>
    <row r="75" spans="2:17" ht="12.75">
      <c r="B75" s="103"/>
      <c r="C75" s="105" t="str">
        <f>"Annual Depreciation Rate (True-Up TCOS, ln "&amp;'KGPCo True-UP TCOS'!B178&amp;")"</f>
        <v>Annual Depreciation Rate (True-Up TCOS, ln 111)</v>
      </c>
      <c r="D75" s="378"/>
      <c r="E75" s="103"/>
      <c r="H75" s="509">
        <f>+'KGPCo True-UP TCOS'!G178</f>
        <v>487251</v>
      </c>
      <c r="I75" s="379"/>
      <c r="J75" s="103"/>
      <c r="K75" s="368"/>
      <c r="Q75" s="368"/>
    </row>
    <row r="76" spans="2:17" ht="12.75">
      <c r="B76" s="103"/>
      <c r="C76" s="105" t="s">
        <v>120</v>
      </c>
      <c r="D76" s="378"/>
      <c r="E76" s="103"/>
      <c r="H76" s="397">
        <f>+H75/H74</f>
        <v>0.024815113776362883</v>
      </c>
      <c r="I76" s="399"/>
      <c r="J76" s="103"/>
      <c r="K76" s="368"/>
      <c r="Q76" s="368"/>
    </row>
    <row r="77" spans="2:17" ht="12.75">
      <c r="B77" s="103"/>
      <c r="C77" s="105" t="s">
        <v>121</v>
      </c>
      <c r="D77" s="378"/>
      <c r="E77" s="103"/>
      <c r="H77" s="399">
        <f>1/H76</f>
        <v>40.29802196403907</v>
      </c>
      <c r="I77" s="379"/>
      <c r="J77" s="103"/>
      <c r="K77" s="368"/>
      <c r="Q77" s="368"/>
    </row>
    <row r="78" spans="2:17" ht="12.75">
      <c r="B78" s="103"/>
      <c r="C78" s="105" t="s">
        <v>122</v>
      </c>
      <c r="D78" s="378"/>
      <c r="E78" s="103"/>
      <c r="H78" s="400">
        <f>ROUND(H77,0)</f>
        <v>40</v>
      </c>
      <c r="I78" s="379"/>
      <c r="J78" s="103"/>
      <c r="K78" s="368"/>
      <c r="Q78" s="368"/>
    </row>
    <row r="79" spans="2:17" ht="12.75">
      <c r="B79" s="103"/>
      <c r="C79" s="105"/>
      <c r="D79" s="378"/>
      <c r="E79" s="103"/>
      <c r="H79" s="400"/>
      <c r="I79" s="379"/>
      <c r="J79" s="103"/>
      <c r="K79" s="368"/>
      <c r="Q79" s="368"/>
    </row>
    <row r="80" spans="3:17" ht="12.75">
      <c r="C80" s="438"/>
      <c r="D80" s="423"/>
      <c r="E80" s="423"/>
      <c r="F80" s="423"/>
      <c r="G80" s="423"/>
      <c r="H80" s="402"/>
      <c r="I80" s="402"/>
      <c r="J80" s="434"/>
      <c r="K80" s="434"/>
      <c r="L80" s="434"/>
      <c r="M80" s="434"/>
      <c r="N80" s="434"/>
      <c r="O80" s="434"/>
      <c r="Q80" s="434"/>
    </row>
    <row r="81" spans="1:17" ht="20.25">
      <c r="A81" s="339" t="s">
        <v>895</v>
      </c>
      <c r="B81" s="103"/>
      <c r="C81" s="105"/>
      <c r="D81" s="378"/>
      <c r="E81" s="103"/>
      <c r="F81" s="397"/>
      <c r="G81" s="397"/>
      <c r="H81" s="103"/>
      <c r="I81" s="379"/>
      <c r="L81" s="134"/>
      <c r="M81" s="134"/>
      <c r="N81" s="134"/>
      <c r="O81" s="341" t="str">
        <f>"Page "&amp;SUM(Q$6:Q81)&amp;" of "</f>
        <v>Page 2 of </v>
      </c>
      <c r="P81" s="342">
        <f>COUNT(Q$6:Q$59661)</f>
        <v>2</v>
      </c>
      <c r="Q81" s="401">
        <v>1</v>
      </c>
    </row>
    <row r="82" spans="2:17" ht="12.75">
      <c r="B82" s="103"/>
      <c r="C82" s="103"/>
      <c r="D82" s="378"/>
      <c r="E82" s="103"/>
      <c r="F82" s="103"/>
      <c r="G82" s="103"/>
      <c r="H82" s="103"/>
      <c r="I82" s="379"/>
      <c r="J82" s="103"/>
      <c r="K82" s="368"/>
      <c r="Q82" s="368"/>
    </row>
    <row r="83" spans="2:17" ht="18">
      <c r="B83" s="344" t="s">
        <v>769</v>
      </c>
      <c r="C83" s="439" t="s">
        <v>143</v>
      </c>
      <c r="D83" s="378"/>
      <c r="E83" s="103"/>
      <c r="F83" s="103"/>
      <c r="G83" s="103"/>
      <c r="H83" s="103"/>
      <c r="I83" s="379"/>
      <c r="J83" s="379"/>
      <c r="K83" s="402"/>
      <c r="L83" s="379"/>
      <c r="M83" s="379"/>
      <c r="N83" s="379"/>
      <c r="O83" s="379"/>
      <c r="Q83" s="402"/>
    </row>
    <row r="84" spans="2:17" ht="18.75">
      <c r="B84" s="344"/>
      <c r="C84" s="345"/>
      <c r="D84" s="378"/>
      <c r="E84" s="103"/>
      <c r="F84" s="103"/>
      <c r="G84" s="103"/>
      <c r="H84" s="103"/>
      <c r="I84" s="379"/>
      <c r="J84" s="379"/>
      <c r="K84" s="402"/>
      <c r="L84" s="379"/>
      <c r="M84" s="379"/>
      <c r="N84" s="379"/>
      <c r="O84" s="379"/>
      <c r="Q84" s="402"/>
    </row>
    <row r="85" spans="2:17" ht="18.75">
      <c r="B85" s="344"/>
      <c r="C85" s="345" t="s">
        <v>144</v>
      </c>
      <c r="D85" s="378"/>
      <c r="E85" s="103"/>
      <c r="F85" s="103"/>
      <c r="G85" s="103"/>
      <c r="H85" s="103"/>
      <c r="I85" s="379"/>
      <c r="J85" s="379"/>
      <c r="K85" s="402"/>
      <c r="L85" s="379"/>
      <c r="M85" s="379"/>
      <c r="N85" s="379"/>
      <c r="O85" s="379"/>
      <c r="Q85" s="402"/>
    </row>
    <row r="86" spans="3:17" ht="15.75" thickBot="1">
      <c r="C86" s="61"/>
      <c r="D86" s="378"/>
      <c r="E86" s="103"/>
      <c r="F86" s="103"/>
      <c r="G86" s="103"/>
      <c r="H86" s="103"/>
      <c r="I86" s="379"/>
      <c r="J86" s="379"/>
      <c r="K86" s="402"/>
      <c r="L86" s="379"/>
      <c r="M86" s="379"/>
      <c r="N86" s="379"/>
      <c r="O86" s="379"/>
      <c r="Q86" s="402"/>
    </row>
    <row r="87" spans="3:17" ht="15.75">
      <c r="C87" s="346" t="s">
        <v>145</v>
      </c>
      <c r="D87" s="378"/>
      <c r="E87" s="103"/>
      <c r="F87" s="103"/>
      <c r="G87" s="103"/>
      <c r="H87" s="854"/>
      <c r="I87" s="103" t="s">
        <v>123</v>
      </c>
      <c r="J87" s="103"/>
      <c r="K87" s="368"/>
      <c r="L87" s="739">
        <f>+J93</f>
        <v>2011</v>
      </c>
      <c r="M87" s="352" t="s">
        <v>102</v>
      </c>
      <c r="N87" s="352" t="s">
        <v>103</v>
      </c>
      <c r="O87" s="353" t="s">
        <v>104</v>
      </c>
      <c r="Q87" s="368"/>
    </row>
    <row r="88" spans="3:17" ht="15.75">
      <c r="C88" s="346"/>
      <c r="D88" s="378"/>
      <c r="E88" s="103"/>
      <c r="F88" s="103"/>
      <c r="H88" s="103"/>
      <c r="I88" s="403"/>
      <c r="J88" s="403"/>
      <c r="K88" s="404"/>
      <c r="L88" s="831" t="s">
        <v>356</v>
      </c>
      <c r="M88" s="832">
        <f>VLOOKUP(J93,C100:P159,10)</f>
        <v>0</v>
      </c>
      <c r="N88" s="832">
        <f>VLOOKUP(J93,C100:P159,12)</f>
        <v>0</v>
      </c>
      <c r="O88" s="833">
        <f>+N88-M88</f>
        <v>0</v>
      </c>
      <c r="Q88" s="404"/>
    </row>
    <row r="89" spans="3:17" ht="12.75">
      <c r="C89" s="405" t="s">
        <v>146</v>
      </c>
      <c r="D89" s="440"/>
      <c r="E89" s="103"/>
      <c r="F89" s="103"/>
      <c r="G89" s="103"/>
      <c r="H89" s="103"/>
      <c r="I89" s="379"/>
      <c r="J89" s="379"/>
      <c r="K89" s="402"/>
      <c r="L89" s="831" t="s">
        <v>357</v>
      </c>
      <c r="M89" s="834">
        <f>VLOOKUP(J93,C100:P159,6)</f>
        <v>0</v>
      </c>
      <c r="N89" s="834">
        <f>VLOOKUP(J93,C100:P159,7)</f>
        <v>0</v>
      </c>
      <c r="O89" s="835">
        <f>+N89-M89</f>
        <v>0</v>
      </c>
      <c r="Q89" s="402"/>
    </row>
    <row r="90" spans="3:17" ht="13.5" thickBot="1">
      <c r="C90" s="405"/>
      <c r="D90" s="441"/>
      <c r="E90" s="400"/>
      <c r="F90" s="400"/>
      <c r="G90" s="400"/>
      <c r="H90" s="408"/>
      <c r="I90" s="379"/>
      <c r="J90" s="379"/>
      <c r="K90" s="402"/>
      <c r="L90" s="445" t="s">
        <v>358</v>
      </c>
      <c r="M90" s="836">
        <f>+M89-M88</f>
        <v>0</v>
      </c>
      <c r="N90" s="836">
        <f>+N89-N88</f>
        <v>0</v>
      </c>
      <c r="O90" s="740">
        <f>+O89-O88</f>
        <v>0</v>
      </c>
      <c r="Q90" s="402"/>
    </row>
    <row r="91" spans="3:17" ht="13.5" thickBot="1">
      <c r="C91" s="406"/>
      <c r="D91" s="407"/>
      <c r="E91" s="408"/>
      <c r="F91" s="408"/>
      <c r="G91" s="408"/>
      <c r="H91" s="408"/>
      <c r="I91" s="408"/>
      <c r="J91" s="408"/>
      <c r="K91" s="409"/>
      <c r="L91" s="408"/>
      <c r="M91" s="408"/>
      <c r="N91" s="408"/>
      <c r="O91" s="408"/>
      <c r="P91" s="102"/>
      <c r="Q91" s="409"/>
    </row>
    <row r="92" spans="3:17" ht="13.5" thickBot="1">
      <c r="C92" s="442" t="s">
        <v>147</v>
      </c>
      <c r="D92" s="443"/>
      <c r="E92" s="443"/>
      <c r="F92" s="443"/>
      <c r="G92" s="443"/>
      <c r="H92" s="443"/>
      <c r="I92" s="443"/>
      <c r="J92" s="443"/>
      <c r="K92" s="444"/>
      <c r="P92" s="786"/>
      <c r="Q92" s="444"/>
    </row>
    <row r="93" spans="3:17" ht="15">
      <c r="C93" s="411" t="s">
        <v>124</v>
      </c>
      <c r="D93" s="856"/>
      <c r="E93" s="105" t="s">
        <v>125</v>
      </c>
      <c r="H93" s="410"/>
      <c r="I93" s="410"/>
      <c r="J93" s="853">
        <f>+'KGPCo Historic TCOS'!O1</f>
        <v>2011</v>
      </c>
      <c r="K93" s="104"/>
      <c r="L93" s="1174" t="s">
        <v>126</v>
      </c>
      <c r="M93" s="1174"/>
      <c r="N93" s="1174"/>
      <c r="O93" s="1174"/>
      <c r="P93" s="368"/>
      <c r="Q93" s="104"/>
    </row>
    <row r="94" spans="3:17" ht="12.75">
      <c r="C94" s="411" t="s">
        <v>127</v>
      </c>
      <c r="D94" s="857">
        <v>2008</v>
      </c>
      <c r="E94" s="411" t="s">
        <v>128</v>
      </c>
      <c r="F94" s="410"/>
      <c r="G94" s="410"/>
      <c r="I94"/>
      <c r="J94" s="855">
        <f>IF(H87="",0,$F$15)</f>
        <v>0</v>
      </c>
      <c r="K94" s="297"/>
      <c r="L94" s="402" t="s">
        <v>913</v>
      </c>
      <c r="P94" s="368"/>
      <c r="Q94" s="297"/>
    </row>
    <row r="95" spans="3:17" ht="12.75">
      <c r="C95" s="411" t="s">
        <v>129</v>
      </c>
      <c r="D95" s="856"/>
      <c r="E95" s="411" t="s">
        <v>130</v>
      </c>
      <c r="F95" s="410"/>
      <c r="G95" s="410"/>
      <c r="I95"/>
      <c r="J95" s="412">
        <f>$F$66</f>
        <v>0.20872655673577084</v>
      </c>
      <c r="K95" s="413"/>
      <c r="L95" s="103" t="str">
        <f>"          INPUT TRUE-UP ARR (WITH &amp; WITHOUT INCENTIVES) FROM EACH PRIOR YEAR"</f>
        <v>          INPUT TRUE-UP ARR (WITH &amp; WITHOUT INCENTIVES) FROM EACH PRIOR YEAR</v>
      </c>
      <c r="P95" s="368"/>
      <c r="Q95" s="413"/>
    </row>
    <row r="96" spans="3:17" ht="12.75">
      <c r="C96" s="411" t="s">
        <v>131</v>
      </c>
      <c r="D96" s="875">
        <f>H$78</f>
        <v>40</v>
      </c>
      <c r="E96" s="411" t="s">
        <v>132</v>
      </c>
      <c r="F96" s="410"/>
      <c r="G96" s="410"/>
      <c r="I96"/>
      <c r="J96" s="412">
        <f>IF(H87="",+J95,$F$65)</f>
        <v>0.20872655673577084</v>
      </c>
      <c r="K96" s="414"/>
      <c r="L96" s="103" t="s">
        <v>237</v>
      </c>
      <c r="M96" s="414"/>
      <c r="N96" s="414"/>
      <c r="O96" s="414"/>
      <c r="P96" s="368"/>
      <c r="Q96" s="414"/>
    </row>
    <row r="97" spans="3:17" ht="13.5" thickBot="1">
      <c r="C97" s="411" t="s">
        <v>133</v>
      </c>
      <c r="D97" s="858" t="s">
        <v>134</v>
      </c>
      <c r="E97" s="445" t="s">
        <v>135</v>
      </c>
      <c r="F97" s="446"/>
      <c r="G97" s="446"/>
      <c r="H97" s="331"/>
      <c r="I97" s="331"/>
      <c r="J97" s="432">
        <f>IF(D93=0,0,D93/D96)</f>
        <v>0</v>
      </c>
      <c r="K97" s="402"/>
      <c r="L97" s="402" t="s">
        <v>238</v>
      </c>
      <c r="M97" s="402"/>
      <c r="N97" s="402"/>
      <c r="O97" s="402"/>
      <c r="P97" s="368"/>
      <c r="Q97" s="402"/>
    </row>
    <row r="98" spans="1:17" ht="38.25">
      <c r="A98" s="139"/>
      <c r="B98" s="139"/>
      <c r="C98" s="447" t="s">
        <v>124</v>
      </c>
      <c r="D98" s="448" t="s">
        <v>136</v>
      </c>
      <c r="E98" s="416" t="s">
        <v>137</v>
      </c>
      <c r="F98" s="448" t="s">
        <v>138</v>
      </c>
      <c r="G98" s="448" t="s">
        <v>359</v>
      </c>
      <c r="H98" s="416" t="s">
        <v>230</v>
      </c>
      <c r="I98" s="449" t="s">
        <v>230</v>
      </c>
      <c r="J98" s="447" t="s">
        <v>148</v>
      </c>
      <c r="K98" s="450"/>
      <c r="L98" s="416" t="s">
        <v>232</v>
      </c>
      <c r="M98" s="416" t="s">
        <v>239</v>
      </c>
      <c r="N98" s="416" t="s">
        <v>232</v>
      </c>
      <c r="O98" s="416" t="s">
        <v>241</v>
      </c>
      <c r="P98" s="416" t="s">
        <v>139</v>
      </c>
      <c r="Q98" s="451"/>
    </row>
    <row r="99" spans="3:17" ht="13.5" thickBot="1">
      <c r="C99" s="417" t="s">
        <v>772</v>
      </c>
      <c r="D99" s="452" t="s">
        <v>773</v>
      </c>
      <c r="E99" s="417" t="s">
        <v>660</v>
      </c>
      <c r="F99" s="452" t="s">
        <v>773</v>
      </c>
      <c r="G99" s="452" t="s">
        <v>773</v>
      </c>
      <c r="H99" s="421" t="s">
        <v>151</v>
      </c>
      <c r="I99" s="418" t="s">
        <v>154</v>
      </c>
      <c r="J99" s="419" t="s">
        <v>153</v>
      </c>
      <c r="K99" s="420"/>
      <c r="L99" s="421" t="s">
        <v>140</v>
      </c>
      <c r="M99" s="421" t="s">
        <v>140</v>
      </c>
      <c r="N99" s="421" t="s">
        <v>376</v>
      </c>
      <c r="O99" s="421" t="s">
        <v>376</v>
      </c>
      <c r="P99" s="421" t="s">
        <v>376</v>
      </c>
      <c r="Q99" s="104"/>
    </row>
    <row r="100" spans="3:17" ht="12.75">
      <c r="C100" s="422">
        <f>IF(D94="","-",D94)</f>
        <v>2008</v>
      </c>
      <c r="D100" s="423">
        <f>+D93</f>
        <v>0</v>
      </c>
      <c r="E100" s="426">
        <f>+J97/12*(12-D95)</f>
        <v>0</v>
      </c>
      <c r="F100" s="741">
        <f aca="true" t="shared" si="0" ref="F100:F140">+D100-E100</f>
        <v>0</v>
      </c>
      <c r="G100" s="423">
        <f>+(D100+F100)/2</f>
        <v>0</v>
      </c>
      <c r="H100" s="1043">
        <f>+J95*G100+E100</f>
        <v>0</v>
      </c>
      <c r="I100" s="1044">
        <f>+J96*G100+E100</f>
        <v>0</v>
      </c>
      <c r="J100" s="427">
        <f>+I100-H100</f>
        <v>0</v>
      </c>
      <c r="K100" s="427"/>
      <c r="L100" s="850"/>
      <c r="M100" s="424">
        <f aca="true" t="shared" si="1" ref="M100:M140">IF(L100&lt;&gt;0,+H100-L100,0)</f>
        <v>0</v>
      </c>
      <c r="N100" s="850"/>
      <c r="O100" s="424">
        <f aca="true" t="shared" si="2" ref="O100:O140">IF(N100&lt;&gt;0,+I100-N100,0)</f>
        <v>0</v>
      </c>
      <c r="P100" s="424">
        <f aca="true" t="shared" si="3" ref="P100:P140">+O100-M100</f>
        <v>0</v>
      </c>
      <c r="Q100" s="434"/>
    </row>
    <row r="101" spans="3:17" ht="12.75">
      <c r="C101" s="422">
        <f>IF(D94="","-",+C100+1)</f>
        <v>2009</v>
      </c>
      <c r="D101" s="423">
        <f aca="true" t="shared" si="4" ref="D101:D141">F100</f>
        <v>0</v>
      </c>
      <c r="E101" s="425">
        <f aca="true" t="shared" si="5" ref="E101:E132">IF(D101&gt;$J$97,$J$97,D101)</f>
        <v>0</v>
      </c>
      <c r="F101" s="425">
        <f t="shared" si="0"/>
        <v>0</v>
      </c>
      <c r="G101" s="423">
        <f aca="true" t="shared" si="6" ref="G101:G159">+(D101+F101)/2</f>
        <v>0</v>
      </c>
      <c r="H101" s="426">
        <f>+J95*G101+E101</f>
        <v>0</v>
      </c>
      <c r="I101" s="415">
        <f>+J96*G101+E101</f>
        <v>0</v>
      </c>
      <c r="J101" s="427">
        <f>+I101-H101</f>
        <v>0</v>
      </c>
      <c r="K101" s="427"/>
      <c r="L101" s="851"/>
      <c r="M101" s="427">
        <f t="shared" si="1"/>
        <v>0</v>
      </c>
      <c r="N101" s="851"/>
      <c r="O101" s="427">
        <f t="shared" si="2"/>
        <v>0</v>
      </c>
      <c r="P101" s="427">
        <f t="shared" si="3"/>
        <v>0</v>
      </c>
      <c r="Q101" s="434"/>
    </row>
    <row r="102" spans="3:17" ht="12.75">
      <c r="C102" s="422">
        <f>IF(D94="","-",+C101+1)</f>
        <v>2010</v>
      </c>
      <c r="D102" s="423">
        <f t="shared" si="4"/>
        <v>0</v>
      </c>
      <c r="E102" s="425">
        <f t="shared" si="5"/>
        <v>0</v>
      </c>
      <c r="F102" s="425">
        <f t="shared" si="0"/>
        <v>0</v>
      </c>
      <c r="G102" s="423">
        <f t="shared" si="6"/>
        <v>0</v>
      </c>
      <c r="H102" s="426">
        <f>+J95*G102+E102</f>
        <v>0</v>
      </c>
      <c r="I102" s="415">
        <f>+J96*G102+E102</f>
        <v>0</v>
      </c>
      <c r="J102" s="427">
        <f aca="true" t="shared" si="7" ref="J102:J159">+I102-H102</f>
        <v>0</v>
      </c>
      <c r="K102" s="427"/>
      <c r="L102" s="851"/>
      <c r="M102" s="427">
        <f t="shared" si="1"/>
        <v>0</v>
      </c>
      <c r="N102" s="851"/>
      <c r="O102" s="427">
        <f t="shared" si="2"/>
        <v>0</v>
      </c>
      <c r="P102" s="427">
        <f t="shared" si="3"/>
        <v>0</v>
      </c>
      <c r="Q102" s="434"/>
    </row>
    <row r="103" spans="3:17" ht="12.75">
      <c r="C103" s="422">
        <f>IF(D94="","-",+C102+1)</f>
        <v>2011</v>
      </c>
      <c r="D103" s="423">
        <f t="shared" si="4"/>
        <v>0</v>
      </c>
      <c r="E103" s="425">
        <f t="shared" si="5"/>
        <v>0</v>
      </c>
      <c r="F103" s="425">
        <f t="shared" si="0"/>
        <v>0</v>
      </c>
      <c r="G103" s="423">
        <f t="shared" si="6"/>
        <v>0</v>
      </c>
      <c r="H103" s="426">
        <f>+J95*G103+E103</f>
        <v>0</v>
      </c>
      <c r="I103" s="415">
        <f>+J96*G103+E103</f>
        <v>0</v>
      </c>
      <c r="J103" s="427">
        <f t="shared" si="7"/>
        <v>0</v>
      </c>
      <c r="K103" s="427"/>
      <c r="L103" s="851"/>
      <c r="M103" s="427">
        <f t="shared" si="1"/>
        <v>0</v>
      </c>
      <c r="N103" s="851"/>
      <c r="O103" s="427">
        <f t="shared" si="2"/>
        <v>0</v>
      </c>
      <c r="P103" s="427">
        <f t="shared" si="3"/>
        <v>0</v>
      </c>
      <c r="Q103" s="434"/>
    </row>
    <row r="104" spans="3:17" ht="12.75">
      <c r="C104" s="422">
        <f>IF(D94="","-",+C103+1)</f>
        <v>2012</v>
      </c>
      <c r="D104" s="423">
        <f t="shared" si="4"/>
        <v>0</v>
      </c>
      <c r="E104" s="425">
        <f t="shared" si="5"/>
        <v>0</v>
      </c>
      <c r="F104" s="425">
        <f t="shared" si="0"/>
        <v>0</v>
      </c>
      <c r="G104" s="423">
        <f t="shared" si="6"/>
        <v>0</v>
      </c>
      <c r="H104" s="426">
        <f>+J95*G104+E104</f>
        <v>0</v>
      </c>
      <c r="I104" s="415">
        <f>+J96*G104+E104</f>
        <v>0</v>
      </c>
      <c r="J104" s="427">
        <f t="shared" si="7"/>
        <v>0</v>
      </c>
      <c r="K104" s="427"/>
      <c r="L104" s="851"/>
      <c r="M104" s="427">
        <f t="shared" si="1"/>
        <v>0</v>
      </c>
      <c r="N104" s="851"/>
      <c r="O104" s="427">
        <f t="shared" si="2"/>
        <v>0</v>
      </c>
      <c r="P104" s="427">
        <f t="shared" si="3"/>
        <v>0</v>
      </c>
      <c r="Q104" s="434"/>
    </row>
    <row r="105" spans="3:17" ht="12.75">
      <c r="C105" s="422">
        <f>IF(D94="","-",+C104+1)</f>
        <v>2013</v>
      </c>
      <c r="D105" s="423">
        <f t="shared" si="4"/>
        <v>0</v>
      </c>
      <c r="E105" s="425">
        <f t="shared" si="5"/>
        <v>0</v>
      </c>
      <c r="F105" s="425">
        <f t="shared" si="0"/>
        <v>0</v>
      </c>
      <c r="G105" s="423">
        <f t="shared" si="6"/>
        <v>0</v>
      </c>
      <c r="H105" s="426">
        <f>+J95*G105+E105</f>
        <v>0</v>
      </c>
      <c r="I105" s="415">
        <f>+J96*G105+E105</f>
        <v>0</v>
      </c>
      <c r="J105" s="427">
        <f t="shared" si="7"/>
        <v>0</v>
      </c>
      <c r="K105" s="427"/>
      <c r="L105" s="851"/>
      <c r="M105" s="427">
        <f t="shared" si="1"/>
        <v>0</v>
      </c>
      <c r="N105" s="851"/>
      <c r="O105" s="427">
        <f t="shared" si="2"/>
        <v>0</v>
      </c>
      <c r="P105" s="427">
        <f t="shared" si="3"/>
        <v>0</v>
      </c>
      <c r="Q105" s="434"/>
    </row>
    <row r="106" spans="3:17" ht="12.75">
      <c r="C106" s="422">
        <f>IF(D94="","-",+C105+1)</f>
        <v>2014</v>
      </c>
      <c r="D106" s="423">
        <f t="shared" si="4"/>
        <v>0</v>
      </c>
      <c r="E106" s="425">
        <f t="shared" si="5"/>
        <v>0</v>
      </c>
      <c r="F106" s="425">
        <f t="shared" si="0"/>
        <v>0</v>
      </c>
      <c r="G106" s="423">
        <f t="shared" si="6"/>
        <v>0</v>
      </c>
      <c r="H106" s="426">
        <f>+J95*G106+E106</f>
        <v>0</v>
      </c>
      <c r="I106" s="415">
        <f>+J96*G106+E106</f>
        <v>0</v>
      </c>
      <c r="J106" s="427">
        <f t="shared" si="7"/>
        <v>0</v>
      </c>
      <c r="K106" s="427"/>
      <c r="L106" s="851"/>
      <c r="M106" s="427">
        <f t="shared" si="1"/>
        <v>0</v>
      </c>
      <c r="N106" s="851"/>
      <c r="O106" s="427">
        <f t="shared" si="2"/>
        <v>0</v>
      </c>
      <c r="P106" s="427">
        <f t="shared" si="3"/>
        <v>0</v>
      </c>
      <c r="Q106" s="434"/>
    </row>
    <row r="107" spans="3:17" ht="12.75">
      <c r="C107" s="422">
        <f>IF(D94="","-",+C106+1)</f>
        <v>2015</v>
      </c>
      <c r="D107" s="423">
        <f t="shared" si="4"/>
        <v>0</v>
      </c>
      <c r="E107" s="425">
        <f t="shared" si="5"/>
        <v>0</v>
      </c>
      <c r="F107" s="425">
        <f t="shared" si="0"/>
        <v>0</v>
      </c>
      <c r="G107" s="423">
        <f t="shared" si="6"/>
        <v>0</v>
      </c>
      <c r="H107" s="426">
        <f>+J95*G107+E107</f>
        <v>0</v>
      </c>
      <c r="I107" s="415">
        <f>+J96*G107+E107</f>
        <v>0</v>
      </c>
      <c r="J107" s="427">
        <f t="shared" si="7"/>
        <v>0</v>
      </c>
      <c r="K107" s="427"/>
      <c r="L107" s="851"/>
      <c r="M107" s="427">
        <f t="shared" si="1"/>
        <v>0</v>
      </c>
      <c r="N107" s="851"/>
      <c r="O107" s="427">
        <f t="shared" si="2"/>
        <v>0</v>
      </c>
      <c r="P107" s="427">
        <f t="shared" si="3"/>
        <v>0</v>
      </c>
      <c r="Q107" s="434"/>
    </row>
    <row r="108" spans="3:17" ht="12.75">
      <c r="C108" s="422">
        <f>IF(D94="","-",+C107+1)</f>
        <v>2016</v>
      </c>
      <c r="D108" s="423">
        <f t="shared" si="4"/>
        <v>0</v>
      </c>
      <c r="E108" s="425">
        <f t="shared" si="5"/>
        <v>0</v>
      </c>
      <c r="F108" s="425">
        <f t="shared" si="0"/>
        <v>0</v>
      </c>
      <c r="G108" s="423">
        <f t="shared" si="6"/>
        <v>0</v>
      </c>
      <c r="H108" s="426">
        <f>+J95*G108+E108</f>
        <v>0</v>
      </c>
      <c r="I108" s="415">
        <f>+J96*G108+E108</f>
        <v>0</v>
      </c>
      <c r="J108" s="427">
        <f t="shared" si="7"/>
        <v>0</v>
      </c>
      <c r="K108" s="427"/>
      <c r="L108" s="851"/>
      <c r="M108" s="427">
        <f t="shared" si="1"/>
        <v>0</v>
      </c>
      <c r="N108" s="851"/>
      <c r="O108" s="427">
        <f t="shared" si="2"/>
        <v>0</v>
      </c>
      <c r="P108" s="427">
        <f t="shared" si="3"/>
        <v>0</v>
      </c>
      <c r="Q108" s="434"/>
    </row>
    <row r="109" spans="3:17" ht="12.75">
      <c r="C109" s="422">
        <f>IF(D94="","-",+C108+1)</f>
        <v>2017</v>
      </c>
      <c r="D109" s="423">
        <f t="shared" si="4"/>
        <v>0</v>
      </c>
      <c r="E109" s="425">
        <f t="shared" si="5"/>
        <v>0</v>
      </c>
      <c r="F109" s="425">
        <f t="shared" si="0"/>
        <v>0</v>
      </c>
      <c r="G109" s="423">
        <f t="shared" si="6"/>
        <v>0</v>
      </c>
      <c r="H109" s="426">
        <f>+J95*G109+E109</f>
        <v>0</v>
      </c>
      <c r="I109" s="415">
        <f>+J96*G109+E109</f>
        <v>0</v>
      </c>
      <c r="J109" s="427">
        <f t="shared" si="7"/>
        <v>0</v>
      </c>
      <c r="K109" s="427"/>
      <c r="L109" s="851"/>
      <c r="M109" s="427">
        <f t="shared" si="1"/>
        <v>0</v>
      </c>
      <c r="N109" s="851"/>
      <c r="O109" s="427">
        <f t="shared" si="2"/>
        <v>0</v>
      </c>
      <c r="P109" s="427">
        <f t="shared" si="3"/>
        <v>0</v>
      </c>
      <c r="Q109" s="434"/>
    </row>
    <row r="110" spans="3:17" ht="12.75">
      <c r="C110" s="422">
        <f>IF(D94="","-",+C109+1)</f>
        <v>2018</v>
      </c>
      <c r="D110" s="423">
        <f t="shared" si="4"/>
        <v>0</v>
      </c>
      <c r="E110" s="425">
        <f t="shared" si="5"/>
        <v>0</v>
      </c>
      <c r="F110" s="425">
        <f t="shared" si="0"/>
        <v>0</v>
      </c>
      <c r="G110" s="423">
        <f t="shared" si="6"/>
        <v>0</v>
      </c>
      <c r="H110" s="426">
        <f>+J95*G110+E110</f>
        <v>0</v>
      </c>
      <c r="I110" s="415">
        <f>+J96*G110+E110</f>
        <v>0</v>
      </c>
      <c r="J110" s="427">
        <f t="shared" si="7"/>
        <v>0</v>
      </c>
      <c r="K110" s="427"/>
      <c r="L110" s="851"/>
      <c r="M110" s="427">
        <f t="shared" si="1"/>
        <v>0</v>
      </c>
      <c r="N110" s="851"/>
      <c r="O110" s="427">
        <f t="shared" si="2"/>
        <v>0</v>
      </c>
      <c r="P110" s="427">
        <f t="shared" si="3"/>
        <v>0</v>
      </c>
      <c r="Q110" s="434"/>
    </row>
    <row r="111" spans="3:17" ht="12.75">
      <c r="C111" s="422">
        <f>IF(D94="","-",+C110+1)</f>
        <v>2019</v>
      </c>
      <c r="D111" s="423">
        <f t="shared" si="4"/>
        <v>0</v>
      </c>
      <c r="E111" s="425">
        <f t="shared" si="5"/>
        <v>0</v>
      </c>
      <c r="F111" s="425">
        <f t="shared" si="0"/>
        <v>0</v>
      </c>
      <c r="G111" s="423">
        <f t="shared" si="6"/>
        <v>0</v>
      </c>
      <c r="H111" s="426">
        <f>+J95*G111+E111</f>
        <v>0</v>
      </c>
      <c r="I111" s="415">
        <f>+J96*G111+E111</f>
        <v>0</v>
      </c>
      <c r="J111" s="427">
        <f t="shared" si="7"/>
        <v>0</v>
      </c>
      <c r="K111" s="427"/>
      <c r="L111" s="851"/>
      <c r="M111" s="427">
        <f t="shared" si="1"/>
        <v>0</v>
      </c>
      <c r="N111" s="851"/>
      <c r="O111" s="427">
        <f t="shared" si="2"/>
        <v>0</v>
      </c>
      <c r="P111" s="427">
        <f t="shared" si="3"/>
        <v>0</v>
      </c>
      <c r="Q111" s="434"/>
    </row>
    <row r="112" spans="3:17" ht="12.75">
      <c r="C112" s="422">
        <f>IF(D94="","-",+C111+1)</f>
        <v>2020</v>
      </c>
      <c r="D112" s="423">
        <f t="shared" si="4"/>
        <v>0</v>
      </c>
      <c r="E112" s="425">
        <f t="shared" si="5"/>
        <v>0</v>
      </c>
      <c r="F112" s="425">
        <f t="shared" si="0"/>
        <v>0</v>
      </c>
      <c r="G112" s="423">
        <f t="shared" si="6"/>
        <v>0</v>
      </c>
      <c r="H112" s="426">
        <f>+J95*G112+E112</f>
        <v>0</v>
      </c>
      <c r="I112" s="415">
        <f>+J96*G112+E112</f>
        <v>0</v>
      </c>
      <c r="J112" s="427">
        <f t="shared" si="7"/>
        <v>0</v>
      </c>
      <c r="K112" s="427"/>
      <c r="L112" s="851"/>
      <c r="M112" s="427">
        <f t="shared" si="1"/>
        <v>0</v>
      </c>
      <c r="N112" s="851"/>
      <c r="O112" s="427">
        <f t="shared" si="2"/>
        <v>0</v>
      </c>
      <c r="P112" s="427">
        <f t="shared" si="3"/>
        <v>0</v>
      </c>
      <c r="Q112" s="434"/>
    </row>
    <row r="113" spans="3:17" ht="12.75">
      <c r="C113" s="422">
        <f>IF(D94="","-",+C112+1)</f>
        <v>2021</v>
      </c>
      <c r="D113" s="423">
        <f t="shared" si="4"/>
        <v>0</v>
      </c>
      <c r="E113" s="425">
        <f t="shared" si="5"/>
        <v>0</v>
      </c>
      <c r="F113" s="425">
        <f t="shared" si="0"/>
        <v>0</v>
      </c>
      <c r="G113" s="423">
        <f t="shared" si="6"/>
        <v>0</v>
      </c>
      <c r="H113" s="426">
        <f>+J95*G113+E113</f>
        <v>0</v>
      </c>
      <c r="I113" s="415">
        <f>+J96*G113+E113</f>
        <v>0</v>
      </c>
      <c r="J113" s="427">
        <f t="shared" si="7"/>
        <v>0</v>
      </c>
      <c r="K113" s="427"/>
      <c r="L113" s="851"/>
      <c r="M113" s="427">
        <f t="shared" si="1"/>
        <v>0</v>
      </c>
      <c r="N113" s="851"/>
      <c r="O113" s="427">
        <f t="shared" si="2"/>
        <v>0</v>
      </c>
      <c r="P113" s="427">
        <f t="shared" si="3"/>
        <v>0</v>
      </c>
      <c r="Q113" s="434"/>
    </row>
    <row r="114" spans="3:17" ht="12.75">
      <c r="C114" s="422">
        <f>IF(D94="","-",+C113+1)</f>
        <v>2022</v>
      </c>
      <c r="D114" s="423">
        <f t="shared" si="4"/>
        <v>0</v>
      </c>
      <c r="E114" s="425">
        <f t="shared" si="5"/>
        <v>0</v>
      </c>
      <c r="F114" s="425">
        <f t="shared" si="0"/>
        <v>0</v>
      </c>
      <c r="G114" s="423">
        <f t="shared" si="6"/>
        <v>0</v>
      </c>
      <c r="H114" s="426">
        <f>+J95*G114+E114</f>
        <v>0</v>
      </c>
      <c r="I114" s="415">
        <f>+J96*G114+E114</f>
        <v>0</v>
      </c>
      <c r="J114" s="427">
        <f t="shared" si="7"/>
        <v>0</v>
      </c>
      <c r="K114" s="427"/>
      <c r="L114" s="851"/>
      <c r="M114" s="427">
        <f t="shared" si="1"/>
        <v>0</v>
      </c>
      <c r="N114" s="851"/>
      <c r="O114" s="427">
        <f t="shared" si="2"/>
        <v>0</v>
      </c>
      <c r="P114" s="427">
        <f t="shared" si="3"/>
        <v>0</v>
      </c>
      <c r="Q114" s="434"/>
    </row>
    <row r="115" spans="3:17" ht="12.75">
      <c r="C115" s="422">
        <f>IF(D94="","-",+C114+1)</f>
        <v>2023</v>
      </c>
      <c r="D115" s="423">
        <f t="shared" si="4"/>
        <v>0</v>
      </c>
      <c r="E115" s="425">
        <f t="shared" si="5"/>
        <v>0</v>
      </c>
      <c r="F115" s="425">
        <f t="shared" si="0"/>
        <v>0</v>
      </c>
      <c r="G115" s="423">
        <f t="shared" si="6"/>
        <v>0</v>
      </c>
      <c r="H115" s="426">
        <f>+J95*G115+E115</f>
        <v>0</v>
      </c>
      <c r="I115" s="415">
        <f>+J96*G115+E115</f>
        <v>0</v>
      </c>
      <c r="J115" s="427">
        <f t="shared" si="7"/>
        <v>0</v>
      </c>
      <c r="K115" s="427"/>
      <c r="L115" s="851"/>
      <c r="M115" s="427">
        <f t="shared" si="1"/>
        <v>0</v>
      </c>
      <c r="N115" s="851"/>
      <c r="O115" s="427">
        <f t="shared" si="2"/>
        <v>0</v>
      </c>
      <c r="P115" s="427">
        <f t="shared" si="3"/>
        <v>0</v>
      </c>
      <c r="Q115" s="434"/>
    </row>
    <row r="116" spans="3:17" ht="12.75">
      <c r="C116" s="422">
        <f>IF(D94="","-",+C115+1)</f>
        <v>2024</v>
      </c>
      <c r="D116" s="423">
        <f t="shared" si="4"/>
        <v>0</v>
      </c>
      <c r="E116" s="425">
        <f t="shared" si="5"/>
        <v>0</v>
      </c>
      <c r="F116" s="425">
        <f t="shared" si="0"/>
        <v>0</v>
      </c>
      <c r="G116" s="423">
        <f t="shared" si="6"/>
        <v>0</v>
      </c>
      <c r="H116" s="426">
        <f>+J95*G116+E116</f>
        <v>0</v>
      </c>
      <c r="I116" s="415">
        <f>+J96*G116+E116</f>
        <v>0</v>
      </c>
      <c r="J116" s="427">
        <f t="shared" si="7"/>
        <v>0</v>
      </c>
      <c r="K116" s="427"/>
      <c r="L116" s="851"/>
      <c r="M116" s="427">
        <f t="shared" si="1"/>
        <v>0</v>
      </c>
      <c r="N116" s="851"/>
      <c r="O116" s="427">
        <f t="shared" si="2"/>
        <v>0</v>
      </c>
      <c r="P116" s="427">
        <f t="shared" si="3"/>
        <v>0</v>
      </c>
      <c r="Q116" s="434"/>
    </row>
    <row r="117" spans="3:17" ht="12.75">
      <c r="C117" s="422">
        <f>IF(D94="","-",+C116+1)</f>
        <v>2025</v>
      </c>
      <c r="D117" s="423">
        <f t="shared" si="4"/>
        <v>0</v>
      </c>
      <c r="E117" s="425">
        <f t="shared" si="5"/>
        <v>0</v>
      </c>
      <c r="F117" s="425">
        <f t="shared" si="0"/>
        <v>0</v>
      </c>
      <c r="G117" s="423">
        <f t="shared" si="6"/>
        <v>0</v>
      </c>
      <c r="H117" s="426">
        <f>+J95*G117+E117</f>
        <v>0</v>
      </c>
      <c r="I117" s="415">
        <f>+J96*G117+E117</f>
        <v>0</v>
      </c>
      <c r="J117" s="427">
        <f t="shared" si="7"/>
        <v>0</v>
      </c>
      <c r="K117" s="427"/>
      <c r="L117" s="851"/>
      <c r="M117" s="427">
        <f t="shared" si="1"/>
        <v>0</v>
      </c>
      <c r="N117" s="851"/>
      <c r="O117" s="427">
        <f t="shared" si="2"/>
        <v>0</v>
      </c>
      <c r="P117" s="427">
        <f t="shared" si="3"/>
        <v>0</v>
      </c>
      <c r="Q117" s="434"/>
    </row>
    <row r="118" spans="3:17" ht="12.75">
      <c r="C118" s="422">
        <f>IF(D94="","-",+C117+1)</f>
        <v>2026</v>
      </c>
      <c r="D118" s="423">
        <f t="shared" si="4"/>
        <v>0</v>
      </c>
      <c r="E118" s="425">
        <f t="shared" si="5"/>
        <v>0</v>
      </c>
      <c r="F118" s="425">
        <f t="shared" si="0"/>
        <v>0</v>
      </c>
      <c r="G118" s="423">
        <f t="shared" si="6"/>
        <v>0</v>
      </c>
      <c r="H118" s="426">
        <f>+J95*G118+E118</f>
        <v>0</v>
      </c>
      <c r="I118" s="415">
        <f>+J96*G118+E118</f>
        <v>0</v>
      </c>
      <c r="J118" s="427">
        <f t="shared" si="7"/>
        <v>0</v>
      </c>
      <c r="K118" s="427"/>
      <c r="L118" s="851"/>
      <c r="M118" s="427">
        <f t="shared" si="1"/>
        <v>0</v>
      </c>
      <c r="N118" s="851"/>
      <c r="O118" s="427">
        <f t="shared" si="2"/>
        <v>0</v>
      </c>
      <c r="P118" s="427">
        <f t="shared" si="3"/>
        <v>0</v>
      </c>
      <c r="Q118" s="434"/>
    </row>
    <row r="119" spans="3:17" ht="12.75">
      <c r="C119" s="422">
        <f>IF(D94="","-",+C118+1)</f>
        <v>2027</v>
      </c>
      <c r="D119" s="423">
        <f t="shared" si="4"/>
        <v>0</v>
      </c>
      <c r="E119" s="425">
        <f t="shared" si="5"/>
        <v>0</v>
      </c>
      <c r="F119" s="425">
        <f t="shared" si="0"/>
        <v>0</v>
      </c>
      <c r="G119" s="423">
        <f t="shared" si="6"/>
        <v>0</v>
      </c>
      <c r="H119" s="426">
        <f>+J95*G119+E119</f>
        <v>0</v>
      </c>
      <c r="I119" s="415">
        <f>+J96*G119+E119</f>
        <v>0</v>
      </c>
      <c r="J119" s="427">
        <f t="shared" si="7"/>
        <v>0</v>
      </c>
      <c r="K119" s="427"/>
      <c r="L119" s="851"/>
      <c r="M119" s="427">
        <f t="shared" si="1"/>
        <v>0</v>
      </c>
      <c r="N119" s="851"/>
      <c r="O119" s="427">
        <f t="shared" si="2"/>
        <v>0</v>
      </c>
      <c r="P119" s="427">
        <f t="shared" si="3"/>
        <v>0</v>
      </c>
      <c r="Q119" s="434"/>
    </row>
    <row r="120" spans="3:17" ht="12.75">
      <c r="C120" s="422">
        <f>IF(D94="","-",+C119+1)</f>
        <v>2028</v>
      </c>
      <c r="D120" s="423">
        <f t="shared" si="4"/>
        <v>0</v>
      </c>
      <c r="E120" s="425">
        <f t="shared" si="5"/>
        <v>0</v>
      </c>
      <c r="F120" s="425">
        <f t="shared" si="0"/>
        <v>0</v>
      </c>
      <c r="G120" s="423">
        <f t="shared" si="6"/>
        <v>0</v>
      </c>
      <c r="H120" s="426">
        <f>+J95*G120+E120</f>
        <v>0</v>
      </c>
      <c r="I120" s="415">
        <f>+J96*G120+E120</f>
        <v>0</v>
      </c>
      <c r="J120" s="427">
        <f t="shared" si="7"/>
        <v>0</v>
      </c>
      <c r="K120" s="427"/>
      <c r="L120" s="851"/>
      <c r="M120" s="427">
        <f t="shared" si="1"/>
        <v>0</v>
      </c>
      <c r="N120" s="851"/>
      <c r="O120" s="427">
        <f t="shared" si="2"/>
        <v>0</v>
      </c>
      <c r="P120" s="427">
        <f t="shared" si="3"/>
        <v>0</v>
      </c>
      <c r="Q120" s="434"/>
    </row>
    <row r="121" spans="3:17" ht="12.75">
      <c r="C121" s="422">
        <f>IF(D94="","-",+C120+1)</f>
        <v>2029</v>
      </c>
      <c r="D121" s="423">
        <f t="shared" si="4"/>
        <v>0</v>
      </c>
      <c r="E121" s="425">
        <f t="shared" si="5"/>
        <v>0</v>
      </c>
      <c r="F121" s="425">
        <f t="shared" si="0"/>
        <v>0</v>
      </c>
      <c r="G121" s="423">
        <f t="shared" si="6"/>
        <v>0</v>
      </c>
      <c r="H121" s="426">
        <f>+J95*G121+E121</f>
        <v>0</v>
      </c>
      <c r="I121" s="415">
        <f>+J96*G121+E121</f>
        <v>0</v>
      </c>
      <c r="J121" s="427">
        <f t="shared" si="7"/>
        <v>0</v>
      </c>
      <c r="K121" s="427"/>
      <c r="L121" s="851"/>
      <c r="M121" s="427">
        <f t="shared" si="1"/>
        <v>0</v>
      </c>
      <c r="N121" s="851"/>
      <c r="O121" s="427">
        <f t="shared" si="2"/>
        <v>0</v>
      </c>
      <c r="P121" s="427">
        <f t="shared" si="3"/>
        <v>0</v>
      </c>
      <c r="Q121" s="434"/>
    </row>
    <row r="122" spans="3:17" ht="12.75">
      <c r="C122" s="422">
        <f>IF(D94="","-",+C121+1)</f>
        <v>2030</v>
      </c>
      <c r="D122" s="423">
        <f t="shared" si="4"/>
        <v>0</v>
      </c>
      <c r="E122" s="425">
        <f t="shared" si="5"/>
        <v>0</v>
      </c>
      <c r="F122" s="425">
        <f t="shared" si="0"/>
        <v>0</v>
      </c>
      <c r="G122" s="423">
        <f t="shared" si="6"/>
        <v>0</v>
      </c>
      <c r="H122" s="426">
        <f>+J95*G122+E122</f>
        <v>0</v>
      </c>
      <c r="I122" s="415">
        <f>+J96*G122+E122</f>
        <v>0</v>
      </c>
      <c r="J122" s="427">
        <f t="shared" si="7"/>
        <v>0</v>
      </c>
      <c r="K122" s="427"/>
      <c r="L122" s="851"/>
      <c r="M122" s="427">
        <f t="shared" si="1"/>
        <v>0</v>
      </c>
      <c r="N122" s="851"/>
      <c r="O122" s="427">
        <f t="shared" si="2"/>
        <v>0</v>
      </c>
      <c r="P122" s="427">
        <f t="shared" si="3"/>
        <v>0</v>
      </c>
      <c r="Q122" s="434"/>
    </row>
    <row r="123" spans="3:17" ht="12.75">
      <c r="C123" s="422">
        <f>IF(D94="","-",+C122+1)</f>
        <v>2031</v>
      </c>
      <c r="D123" s="423">
        <f t="shared" si="4"/>
        <v>0</v>
      </c>
      <c r="E123" s="425">
        <f t="shared" si="5"/>
        <v>0</v>
      </c>
      <c r="F123" s="425">
        <f t="shared" si="0"/>
        <v>0</v>
      </c>
      <c r="G123" s="423">
        <f t="shared" si="6"/>
        <v>0</v>
      </c>
      <c r="H123" s="426">
        <f>+J95*G123+E123</f>
        <v>0</v>
      </c>
      <c r="I123" s="415">
        <f>+J96*G123+E123</f>
        <v>0</v>
      </c>
      <c r="J123" s="427">
        <f t="shared" si="7"/>
        <v>0</v>
      </c>
      <c r="K123" s="427"/>
      <c r="L123" s="851"/>
      <c r="M123" s="427">
        <f t="shared" si="1"/>
        <v>0</v>
      </c>
      <c r="N123" s="851"/>
      <c r="O123" s="427">
        <f t="shared" si="2"/>
        <v>0</v>
      </c>
      <c r="P123" s="427">
        <f t="shared" si="3"/>
        <v>0</v>
      </c>
      <c r="Q123" s="434"/>
    </row>
    <row r="124" spans="3:17" ht="12.75">
      <c r="C124" s="422">
        <f>IF(D94="","-",+C123+1)</f>
        <v>2032</v>
      </c>
      <c r="D124" s="423">
        <f t="shared" si="4"/>
        <v>0</v>
      </c>
      <c r="E124" s="425">
        <f t="shared" si="5"/>
        <v>0</v>
      </c>
      <c r="F124" s="425">
        <f t="shared" si="0"/>
        <v>0</v>
      </c>
      <c r="G124" s="423">
        <f t="shared" si="6"/>
        <v>0</v>
      </c>
      <c r="H124" s="426">
        <f>+J95*G124+E124</f>
        <v>0</v>
      </c>
      <c r="I124" s="415">
        <f>+J96*G124+E124</f>
        <v>0</v>
      </c>
      <c r="J124" s="427">
        <f t="shared" si="7"/>
        <v>0</v>
      </c>
      <c r="K124" s="427"/>
      <c r="L124" s="851"/>
      <c r="M124" s="427">
        <f t="shared" si="1"/>
        <v>0</v>
      </c>
      <c r="N124" s="851"/>
      <c r="O124" s="427">
        <f t="shared" si="2"/>
        <v>0</v>
      </c>
      <c r="P124" s="427">
        <f t="shared" si="3"/>
        <v>0</v>
      </c>
      <c r="Q124" s="434"/>
    </row>
    <row r="125" spans="3:17" ht="12.75">
      <c r="C125" s="422">
        <f>IF(D94="","-",+C124+1)</f>
        <v>2033</v>
      </c>
      <c r="D125" s="423">
        <f t="shared" si="4"/>
        <v>0</v>
      </c>
      <c r="E125" s="425">
        <f t="shared" si="5"/>
        <v>0</v>
      </c>
      <c r="F125" s="425">
        <f t="shared" si="0"/>
        <v>0</v>
      </c>
      <c r="G125" s="423">
        <f t="shared" si="6"/>
        <v>0</v>
      </c>
      <c r="H125" s="426">
        <f>+J95*G125+E125</f>
        <v>0</v>
      </c>
      <c r="I125" s="415">
        <f>+J96*G125+E125</f>
        <v>0</v>
      </c>
      <c r="J125" s="427">
        <f t="shared" si="7"/>
        <v>0</v>
      </c>
      <c r="K125" s="427"/>
      <c r="L125" s="851"/>
      <c r="M125" s="427">
        <f t="shared" si="1"/>
        <v>0</v>
      </c>
      <c r="N125" s="851"/>
      <c r="O125" s="427">
        <f t="shared" si="2"/>
        <v>0</v>
      </c>
      <c r="P125" s="427">
        <f t="shared" si="3"/>
        <v>0</v>
      </c>
      <c r="Q125" s="434"/>
    </row>
    <row r="126" spans="3:17" ht="12.75">
      <c r="C126" s="422">
        <f>IF(D94="","-",+C125+1)</f>
        <v>2034</v>
      </c>
      <c r="D126" s="423">
        <f t="shared" si="4"/>
        <v>0</v>
      </c>
      <c r="E126" s="425">
        <f t="shared" si="5"/>
        <v>0</v>
      </c>
      <c r="F126" s="425">
        <f t="shared" si="0"/>
        <v>0</v>
      </c>
      <c r="G126" s="423">
        <f t="shared" si="6"/>
        <v>0</v>
      </c>
      <c r="H126" s="426">
        <f>+J95*G126+E126</f>
        <v>0</v>
      </c>
      <c r="I126" s="415">
        <f>+J96*G126+E126</f>
        <v>0</v>
      </c>
      <c r="J126" s="427">
        <f t="shared" si="7"/>
        <v>0</v>
      </c>
      <c r="K126" s="427"/>
      <c r="L126" s="851"/>
      <c r="M126" s="427">
        <f t="shared" si="1"/>
        <v>0</v>
      </c>
      <c r="N126" s="851"/>
      <c r="O126" s="427">
        <f t="shared" si="2"/>
        <v>0</v>
      </c>
      <c r="P126" s="427">
        <f t="shared" si="3"/>
        <v>0</v>
      </c>
      <c r="Q126" s="434"/>
    </row>
    <row r="127" spans="3:17" ht="12.75">
      <c r="C127" s="422">
        <f>IF(D94="","-",+C126+1)</f>
        <v>2035</v>
      </c>
      <c r="D127" s="423">
        <f t="shared" si="4"/>
        <v>0</v>
      </c>
      <c r="E127" s="425">
        <f t="shared" si="5"/>
        <v>0</v>
      </c>
      <c r="F127" s="425">
        <f t="shared" si="0"/>
        <v>0</v>
      </c>
      <c r="G127" s="423">
        <f t="shared" si="6"/>
        <v>0</v>
      </c>
      <c r="H127" s="426">
        <f>+J95*G127+E127</f>
        <v>0</v>
      </c>
      <c r="I127" s="415">
        <f>+J96*G127+E127</f>
        <v>0</v>
      </c>
      <c r="J127" s="427">
        <f t="shared" si="7"/>
        <v>0</v>
      </c>
      <c r="K127" s="427"/>
      <c r="L127" s="851"/>
      <c r="M127" s="427">
        <f t="shared" si="1"/>
        <v>0</v>
      </c>
      <c r="N127" s="851"/>
      <c r="O127" s="427">
        <f t="shared" si="2"/>
        <v>0</v>
      </c>
      <c r="P127" s="427">
        <f t="shared" si="3"/>
        <v>0</v>
      </c>
      <c r="Q127" s="434"/>
    </row>
    <row r="128" spans="3:17" ht="12.75">
      <c r="C128" s="422">
        <f>IF(D94="","-",+C127+1)</f>
        <v>2036</v>
      </c>
      <c r="D128" s="423">
        <f t="shared" si="4"/>
        <v>0</v>
      </c>
      <c r="E128" s="425">
        <f t="shared" si="5"/>
        <v>0</v>
      </c>
      <c r="F128" s="425">
        <f t="shared" si="0"/>
        <v>0</v>
      </c>
      <c r="G128" s="423">
        <f t="shared" si="6"/>
        <v>0</v>
      </c>
      <c r="H128" s="426">
        <f>+J95*G128+E128</f>
        <v>0</v>
      </c>
      <c r="I128" s="415">
        <f>+J96*G128+E128</f>
        <v>0</v>
      </c>
      <c r="J128" s="427">
        <f t="shared" si="7"/>
        <v>0</v>
      </c>
      <c r="K128" s="427"/>
      <c r="L128" s="851"/>
      <c r="M128" s="427">
        <f t="shared" si="1"/>
        <v>0</v>
      </c>
      <c r="N128" s="851"/>
      <c r="O128" s="427">
        <f t="shared" si="2"/>
        <v>0</v>
      </c>
      <c r="P128" s="427">
        <f t="shared" si="3"/>
        <v>0</v>
      </c>
      <c r="Q128" s="434"/>
    </row>
    <row r="129" spans="3:17" ht="12.75">
      <c r="C129" s="422">
        <f>IF(D94="","-",+C128+1)</f>
        <v>2037</v>
      </c>
      <c r="D129" s="423">
        <f t="shared" si="4"/>
        <v>0</v>
      </c>
      <c r="E129" s="425">
        <f t="shared" si="5"/>
        <v>0</v>
      </c>
      <c r="F129" s="425">
        <f t="shared" si="0"/>
        <v>0</v>
      </c>
      <c r="G129" s="423">
        <f t="shared" si="6"/>
        <v>0</v>
      </c>
      <c r="H129" s="426">
        <f>+J95*G129+E129</f>
        <v>0</v>
      </c>
      <c r="I129" s="415">
        <f>+J96*G129+E129</f>
        <v>0</v>
      </c>
      <c r="J129" s="427">
        <f t="shared" si="7"/>
        <v>0</v>
      </c>
      <c r="K129" s="427"/>
      <c r="L129" s="851"/>
      <c r="M129" s="427">
        <f t="shared" si="1"/>
        <v>0</v>
      </c>
      <c r="N129" s="851"/>
      <c r="O129" s="427">
        <f t="shared" si="2"/>
        <v>0</v>
      </c>
      <c r="P129" s="427">
        <f t="shared" si="3"/>
        <v>0</v>
      </c>
      <c r="Q129" s="434"/>
    </row>
    <row r="130" spans="3:17" ht="12.75">
      <c r="C130" s="422">
        <f>IF(D94="","-",+C129+1)</f>
        <v>2038</v>
      </c>
      <c r="D130" s="423">
        <f t="shared" si="4"/>
        <v>0</v>
      </c>
      <c r="E130" s="425">
        <f t="shared" si="5"/>
        <v>0</v>
      </c>
      <c r="F130" s="425">
        <f t="shared" si="0"/>
        <v>0</v>
      </c>
      <c r="G130" s="423">
        <f t="shared" si="6"/>
        <v>0</v>
      </c>
      <c r="H130" s="426">
        <f>+J95*G130+E130</f>
        <v>0</v>
      </c>
      <c r="I130" s="415">
        <f>+J96*G130+E130</f>
        <v>0</v>
      </c>
      <c r="J130" s="427">
        <f t="shared" si="7"/>
        <v>0</v>
      </c>
      <c r="K130" s="427"/>
      <c r="L130" s="851"/>
      <c r="M130" s="427">
        <f t="shared" si="1"/>
        <v>0</v>
      </c>
      <c r="N130" s="851"/>
      <c r="O130" s="427">
        <f t="shared" si="2"/>
        <v>0</v>
      </c>
      <c r="P130" s="427">
        <f t="shared" si="3"/>
        <v>0</v>
      </c>
      <c r="Q130" s="434"/>
    </row>
    <row r="131" spans="3:17" ht="12.75">
      <c r="C131" s="422">
        <f>IF(D94="","-",+C130+1)</f>
        <v>2039</v>
      </c>
      <c r="D131" s="423">
        <f t="shared" si="4"/>
        <v>0</v>
      </c>
      <c r="E131" s="425">
        <f t="shared" si="5"/>
        <v>0</v>
      </c>
      <c r="F131" s="425">
        <f t="shared" si="0"/>
        <v>0</v>
      </c>
      <c r="G131" s="423">
        <f t="shared" si="6"/>
        <v>0</v>
      </c>
      <c r="H131" s="426">
        <f>+J95*G131+E131</f>
        <v>0</v>
      </c>
      <c r="I131" s="415">
        <f>+J96*G131+E131</f>
        <v>0</v>
      </c>
      <c r="J131" s="427">
        <f t="shared" si="7"/>
        <v>0</v>
      </c>
      <c r="K131" s="427"/>
      <c r="L131" s="851"/>
      <c r="M131" s="427">
        <f t="shared" si="1"/>
        <v>0</v>
      </c>
      <c r="N131" s="851"/>
      <c r="O131" s="427">
        <f t="shared" si="2"/>
        <v>0</v>
      </c>
      <c r="P131" s="427">
        <f t="shared" si="3"/>
        <v>0</v>
      </c>
      <c r="Q131" s="434"/>
    </row>
    <row r="132" spans="3:17" ht="12.75">
      <c r="C132" s="422">
        <f>IF(D94="","-",+C131+1)</f>
        <v>2040</v>
      </c>
      <c r="D132" s="423">
        <f t="shared" si="4"/>
        <v>0</v>
      </c>
      <c r="E132" s="425">
        <f t="shared" si="5"/>
        <v>0</v>
      </c>
      <c r="F132" s="425">
        <f t="shared" si="0"/>
        <v>0</v>
      </c>
      <c r="G132" s="423">
        <f t="shared" si="6"/>
        <v>0</v>
      </c>
      <c r="H132" s="426">
        <f>+J95*G132+E132</f>
        <v>0</v>
      </c>
      <c r="I132" s="415">
        <f>+J96*G132+E132</f>
        <v>0</v>
      </c>
      <c r="J132" s="427">
        <f t="shared" si="7"/>
        <v>0</v>
      </c>
      <c r="K132" s="427"/>
      <c r="L132" s="851"/>
      <c r="M132" s="427">
        <f t="shared" si="1"/>
        <v>0</v>
      </c>
      <c r="N132" s="851"/>
      <c r="O132" s="427">
        <f t="shared" si="2"/>
        <v>0</v>
      </c>
      <c r="P132" s="427">
        <f t="shared" si="3"/>
        <v>0</v>
      </c>
      <c r="Q132" s="434"/>
    </row>
    <row r="133" spans="3:17" ht="12.75">
      <c r="C133" s="422">
        <f>IF(D94="","-",+C132+1)</f>
        <v>2041</v>
      </c>
      <c r="D133" s="423">
        <f t="shared" si="4"/>
        <v>0</v>
      </c>
      <c r="E133" s="425">
        <f aca="true" t="shared" si="8" ref="E133:E159">IF(D133&gt;$J$97,$J$97,D133)</f>
        <v>0</v>
      </c>
      <c r="F133" s="425">
        <f t="shared" si="0"/>
        <v>0</v>
      </c>
      <c r="G133" s="423">
        <f t="shared" si="6"/>
        <v>0</v>
      </c>
      <c r="H133" s="426">
        <f>+J95*G133+E133</f>
        <v>0</v>
      </c>
      <c r="I133" s="415">
        <f>+J96*G133+E133</f>
        <v>0</v>
      </c>
      <c r="J133" s="427">
        <f t="shared" si="7"/>
        <v>0</v>
      </c>
      <c r="K133" s="427"/>
      <c r="L133" s="851"/>
      <c r="M133" s="427">
        <f t="shared" si="1"/>
        <v>0</v>
      </c>
      <c r="N133" s="851"/>
      <c r="O133" s="427">
        <f t="shared" si="2"/>
        <v>0</v>
      </c>
      <c r="P133" s="427">
        <f t="shared" si="3"/>
        <v>0</v>
      </c>
      <c r="Q133" s="434"/>
    </row>
    <row r="134" spans="3:17" ht="12.75">
      <c r="C134" s="422">
        <f>IF(D94="","-",+C133+1)</f>
        <v>2042</v>
      </c>
      <c r="D134" s="423">
        <f t="shared" si="4"/>
        <v>0</v>
      </c>
      <c r="E134" s="425">
        <f t="shared" si="8"/>
        <v>0</v>
      </c>
      <c r="F134" s="425">
        <f t="shared" si="0"/>
        <v>0</v>
      </c>
      <c r="G134" s="423">
        <f t="shared" si="6"/>
        <v>0</v>
      </c>
      <c r="H134" s="426">
        <f>+J95*G134+E134</f>
        <v>0</v>
      </c>
      <c r="I134" s="415">
        <f>+J96*G134+E134</f>
        <v>0</v>
      </c>
      <c r="J134" s="427">
        <f t="shared" si="7"/>
        <v>0</v>
      </c>
      <c r="K134" s="427"/>
      <c r="L134" s="851"/>
      <c r="M134" s="427">
        <f t="shared" si="1"/>
        <v>0</v>
      </c>
      <c r="N134" s="851"/>
      <c r="O134" s="427">
        <f t="shared" si="2"/>
        <v>0</v>
      </c>
      <c r="P134" s="427">
        <f t="shared" si="3"/>
        <v>0</v>
      </c>
      <c r="Q134" s="434"/>
    </row>
    <row r="135" spans="3:17" ht="12.75">
      <c r="C135" s="422">
        <f>IF(D94="","-",+C134+1)</f>
        <v>2043</v>
      </c>
      <c r="D135" s="423">
        <f t="shared" si="4"/>
        <v>0</v>
      </c>
      <c r="E135" s="425">
        <f t="shared" si="8"/>
        <v>0</v>
      </c>
      <c r="F135" s="425">
        <f t="shared" si="0"/>
        <v>0</v>
      </c>
      <c r="G135" s="423">
        <f t="shared" si="6"/>
        <v>0</v>
      </c>
      <c r="H135" s="426">
        <f>+J95*G135+E135</f>
        <v>0</v>
      </c>
      <c r="I135" s="415">
        <f>+J96*G135+E135</f>
        <v>0</v>
      </c>
      <c r="J135" s="427">
        <f t="shared" si="7"/>
        <v>0</v>
      </c>
      <c r="K135" s="427"/>
      <c r="L135" s="851"/>
      <c r="M135" s="427">
        <f t="shared" si="1"/>
        <v>0</v>
      </c>
      <c r="N135" s="851"/>
      <c r="O135" s="427">
        <f t="shared" si="2"/>
        <v>0</v>
      </c>
      <c r="P135" s="427">
        <f t="shared" si="3"/>
        <v>0</v>
      </c>
      <c r="Q135" s="434"/>
    </row>
    <row r="136" spans="3:17" ht="12.75">
      <c r="C136" s="422">
        <f>IF(D94="","-",+C135+1)</f>
        <v>2044</v>
      </c>
      <c r="D136" s="423">
        <f t="shared" si="4"/>
        <v>0</v>
      </c>
      <c r="E136" s="425">
        <f t="shared" si="8"/>
        <v>0</v>
      </c>
      <c r="F136" s="425">
        <f t="shared" si="0"/>
        <v>0</v>
      </c>
      <c r="G136" s="423">
        <f t="shared" si="6"/>
        <v>0</v>
      </c>
      <c r="H136" s="426">
        <f>+J95*G136+E136</f>
        <v>0</v>
      </c>
      <c r="I136" s="415">
        <f>+J96*G136+E136</f>
        <v>0</v>
      </c>
      <c r="J136" s="427">
        <f t="shared" si="7"/>
        <v>0</v>
      </c>
      <c r="K136" s="427"/>
      <c r="L136" s="851"/>
      <c r="M136" s="427">
        <f t="shared" si="1"/>
        <v>0</v>
      </c>
      <c r="N136" s="851"/>
      <c r="O136" s="427">
        <f t="shared" si="2"/>
        <v>0</v>
      </c>
      <c r="P136" s="427">
        <f t="shared" si="3"/>
        <v>0</v>
      </c>
      <c r="Q136" s="434"/>
    </row>
    <row r="137" spans="3:17" ht="12.75">
      <c r="C137" s="422">
        <f>IF(D94="","-",+C136+1)</f>
        <v>2045</v>
      </c>
      <c r="D137" s="423">
        <f t="shared" si="4"/>
        <v>0</v>
      </c>
      <c r="E137" s="425">
        <f t="shared" si="8"/>
        <v>0</v>
      </c>
      <c r="F137" s="425">
        <f t="shared" si="0"/>
        <v>0</v>
      </c>
      <c r="G137" s="423">
        <f t="shared" si="6"/>
        <v>0</v>
      </c>
      <c r="H137" s="426">
        <f>+J95*G137+E137</f>
        <v>0</v>
      </c>
      <c r="I137" s="415">
        <f>+J96*G137+E137</f>
        <v>0</v>
      </c>
      <c r="J137" s="427">
        <f t="shared" si="7"/>
        <v>0</v>
      </c>
      <c r="K137" s="427"/>
      <c r="L137" s="851"/>
      <c r="M137" s="427">
        <f t="shared" si="1"/>
        <v>0</v>
      </c>
      <c r="N137" s="851"/>
      <c r="O137" s="427">
        <f t="shared" si="2"/>
        <v>0</v>
      </c>
      <c r="P137" s="427">
        <f t="shared" si="3"/>
        <v>0</v>
      </c>
      <c r="Q137" s="434"/>
    </row>
    <row r="138" spans="3:17" ht="12.75">
      <c r="C138" s="422">
        <f>IF(D94="","-",+C137+1)</f>
        <v>2046</v>
      </c>
      <c r="D138" s="423">
        <f t="shared" si="4"/>
        <v>0</v>
      </c>
      <c r="E138" s="425">
        <f t="shared" si="8"/>
        <v>0</v>
      </c>
      <c r="F138" s="425">
        <f t="shared" si="0"/>
        <v>0</v>
      </c>
      <c r="G138" s="423">
        <f t="shared" si="6"/>
        <v>0</v>
      </c>
      <c r="H138" s="426">
        <f>+J95*G138+E138</f>
        <v>0</v>
      </c>
      <c r="I138" s="415">
        <f>+J96*G138+E138</f>
        <v>0</v>
      </c>
      <c r="J138" s="427">
        <f t="shared" si="7"/>
        <v>0</v>
      </c>
      <c r="K138" s="427"/>
      <c r="L138" s="851"/>
      <c r="M138" s="427">
        <f t="shared" si="1"/>
        <v>0</v>
      </c>
      <c r="N138" s="851"/>
      <c r="O138" s="427">
        <f t="shared" si="2"/>
        <v>0</v>
      </c>
      <c r="P138" s="427">
        <f t="shared" si="3"/>
        <v>0</v>
      </c>
      <c r="Q138" s="434"/>
    </row>
    <row r="139" spans="3:17" ht="12.75">
      <c r="C139" s="422">
        <f>IF(D94="","-",+C138+1)</f>
        <v>2047</v>
      </c>
      <c r="D139" s="423">
        <f t="shared" si="4"/>
        <v>0</v>
      </c>
      <c r="E139" s="425">
        <f t="shared" si="8"/>
        <v>0</v>
      </c>
      <c r="F139" s="425">
        <f t="shared" si="0"/>
        <v>0</v>
      </c>
      <c r="G139" s="423">
        <f t="shared" si="6"/>
        <v>0</v>
      </c>
      <c r="H139" s="426">
        <f>+J95*G139+E139</f>
        <v>0</v>
      </c>
      <c r="I139" s="415">
        <f>+J96*G139+E139</f>
        <v>0</v>
      </c>
      <c r="J139" s="427">
        <f t="shared" si="7"/>
        <v>0</v>
      </c>
      <c r="K139" s="427"/>
      <c r="L139" s="851"/>
      <c r="M139" s="427">
        <f t="shared" si="1"/>
        <v>0</v>
      </c>
      <c r="N139" s="851"/>
      <c r="O139" s="427">
        <f t="shared" si="2"/>
        <v>0</v>
      </c>
      <c r="P139" s="427">
        <f t="shared" si="3"/>
        <v>0</v>
      </c>
      <c r="Q139" s="434"/>
    </row>
    <row r="140" spans="3:17" ht="12.75">
      <c r="C140" s="422">
        <f>IF(D94="","-",+C139+1)</f>
        <v>2048</v>
      </c>
      <c r="D140" s="423">
        <f t="shared" si="4"/>
        <v>0</v>
      </c>
      <c r="E140" s="425">
        <f t="shared" si="8"/>
        <v>0</v>
      </c>
      <c r="F140" s="425">
        <f t="shared" si="0"/>
        <v>0</v>
      </c>
      <c r="G140" s="423">
        <f t="shared" si="6"/>
        <v>0</v>
      </c>
      <c r="H140" s="426">
        <f>+J95*G140+E140</f>
        <v>0</v>
      </c>
      <c r="I140" s="415">
        <f>+J96*G140+E140</f>
        <v>0</v>
      </c>
      <c r="J140" s="427">
        <f t="shared" si="7"/>
        <v>0</v>
      </c>
      <c r="K140" s="427"/>
      <c r="L140" s="851"/>
      <c r="M140" s="427">
        <f t="shared" si="1"/>
        <v>0</v>
      </c>
      <c r="N140" s="851"/>
      <c r="O140" s="427">
        <f t="shared" si="2"/>
        <v>0</v>
      </c>
      <c r="P140" s="427">
        <f t="shared" si="3"/>
        <v>0</v>
      </c>
      <c r="Q140" s="434"/>
    </row>
    <row r="141" spans="3:17" ht="12.75">
      <c r="C141" s="422">
        <f>IF(D94="","-",+C140+1)</f>
        <v>2049</v>
      </c>
      <c r="D141" s="423">
        <f t="shared" si="4"/>
        <v>0</v>
      </c>
      <c r="E141" s="425">
        <f t="shared" si="8"/>
        <v>0</v>
      </c>
      <c r="F141" s="425">
        <f aca="true" t="shared" si="9" ref="F141:F159">+D141-E141</f>
        <v>0</v>
      </c>
      <c r="G141" s="423">
        <f t="shared" si="6"/>
        <v>0</v>
      </c>
      <c r="H141" s="426">
        <f>+J95*G141+E141</f>
        <v>0</v>
      </c>
      <c r="I141" s="415">
        <f>+J96*G141+E141</f>
        <v>0</v>
      </c>
      <c r="J141" s="427">
        <f t="shared" si="7"/>
        <v>0</v>
      </c>
      <c r="K141" s="427"/>
      <c r="L141" s="851"/>
      <c r="M141" s="427">
        <f aca="true" t="shared" si="10" ref="M141:M159">IF(L141&lt;&gt;0,+H141-L141,0)</f>
        <v>0</v>
      </c>
      <c r="N141" s="851"/>
      <c r="O141" s="427">
        <f aca="true" t="shared" si="11" ref="O141:O159">IF(N141&lt;&gt;0,+I141-N141,0)</f>
        <v>0</v>
      </c>
      <c r="P141" s="427">
        <f aca="true" t="shared" si="12" ref="P141:P159">+O141-M141</f>
        <v>0</v>
      </c>
      <c r="Q141" s="434"/>
    </row>
    <row r="142" spans="3:17" ht="12.75">
      <c r="C142" s="422">
        <f>IF(D94="","-",+C141+1)</f>
        <v>2050</v>
      </c>
      <c r="D142" s="423">
        <f aca="true" t="shared" si="13" ref="D142:D159">F141</f>
        <v>0</v>
      </c>
      <c r="E142" s="425">
        <f t="shared" si="8"/>
        <v>0</v>
      </c>
      <c r="F142" s="425">
        <f t="shared" si="9"/>
        <v>0</v>
      </c>
      <c r="G142" s="423">
        <f t="shared" si="6"/>
        <v>0</v>
      </c>
      <c r="H142" s="426">
        <f>+J95*G142+E142</f>
        <v>0</v>
      </c>
      <c r="I142" s="415">
        <f>+J96*G142+E142</f>
        <v>0</v>
      </c>
      <c r="J142" s="427">
        <f t="shared" si="7"/>
        <v>0</v>
      </c>
      <c r="K142" s="427"/>
      <c r="L142" s="851"/>
      <c r="M142" s="427">
        <f t="shared" si="10"/>
        <v>0</v>
      </c>
      <c r="N142" s="851"/>
      <c r="O142" s="427">
        <f t="shared" si="11"/>
        <v>0</v>
      </c>
      <c r="P142" s="427">
        <f t="shared" si="12"/>
        <v>0</v>
      </c>
      <c r="Q142" s="434"/>
    </row>
    <row r="143" spans="3:17" ht="12.75">
      <c r="C143" s="422">
        <f>IF(D94="","-",+C142+1)</f>
        <v>2051</v>
      </c>
      <c r="D143" s="423">
        <f t="shared" si="13"/>
        <v>0</v>
      </c>
      <c r="E143" s="425">
        <f t="shared" si="8"/>
        <v>0</v>
      </c>
      <c r="F143" s="425">
        <f t="shared" si="9"/>
        <v>0</v>
      </c>
      <c r="G143" s="423">
        <f t="shared" si="6"/>
        <v>0</v>
      </c>
      <c r="H143" s="426">
        <f>+J95*G143+E143</f>
        <v>0</v>
      </c>
      <c r="I143" s="415">
        <f>+J96*G143+E143</f>
        <v>0</v>
      </c>
      <c r="J143" s="427">
        <f t="shared" si="7"/>
        <v>0</v>
      </c>
      <c r="K143" s="427"/>
      <c r="L143" s="851"/>
      <c r="M143" s="427">
        <f t="shared" si="10"/>
        <v>0</v>
      </c>
      <c r="N143" s="851"/>
      <c r="O143" s="427">
        <f t="shared" si="11"/>
        <v>0</v>
      </c>
      <c r="P143" s="427">
        <f t="shared" si="12"/>
        <v>0</v>
      </c>
      <c r="Q143" s="434"/>
    </row>
    <row r="144" spans="3:17" ht="12.75">
      <c r="C144" s="422">
        <f>IF(D94="","-",+C143+1)</f>
        <v>2052</v>
      </c>
      <c r="D144" s="423">
        <f t="shared" si="13"/>
        <v>0</v>
      </c>
      <c r="E144" s="425">
        <f t="shared" si="8"/>
        <v>0</v>
      </c>
      <c r="F144" s="425">
        <f t="shared" si="9"/>
        <v>0</v>
      </c>
      <c r="G144" s="423">
        <f t="shared" si="6"/>
        <v>0</v>
      </c>
      <c r="H144" s="426">
        <f>+J95*G144+E144</f>
        <v>0</v>
      </c>
      <c r="I144" s="415">
        <f>+J96*G144+E144</f>
        <v>0</v>
      </c>
      <c r="J144" s="427">
        <f t="shared" si="7"/>
        <v>0</v>
      </c>
      <c r="K144" s="427"/>
      <c r="L144" s="851"/>
      <c r="M144" s="427">
        <f t="shared" si="10"/>
        <v>0</v>
      </c>
      <c r="N144" s="851"/>
      <c r="O144" s="427">
        <f t="shared" si="11"/>
        <v>0</v>
      </c>
      <c r="P144" s="427">
        <f t="shared" si="12"/>
        <v>0</v>
      </c>
      <c r="Q144" s="434"/>
    </row>
    <row r="145" spans="3:17" ht="12.75">
      <c r="C145" s="422">
        <f>IF(D94="","-",+C144+1)</f>
        <v>2053</v>
      </c>
      <c r="D145" s="423">
        <f t="shared" si="13"/>
        <v>0</v>
      </c>
      <c r="E145" s="425">
        <f t="shared" si="8"/>
        <v>0</v>
      </c>
      <c r="F145" s="425">
        <f t="shared" si="9"/>
        <v>0</v>
      </c>
      <c r="G145" s="423">
        <f t="shared" si="6"/>
        <v>0</v>
      </c>
      <c r="H145" s="426">
        <f>+J95*G145+E145</f>
        <v>0</v>
      </c>
      <c r="I145" s="415">
        <f>+J96*G145+E145</f>
        <v>0</v>
      </c>
      <c r="J145" s="427">
        <f t="shared" si="7"/>
        <v>0</v>
      </c>
      <c r="K145" s="427"/>
      <c r="L145" s="851"/>
      <c r="M145" s="427">
        <f t="shared" si="10"/>
        <v>0</v>
      </c>
      <c r="N145" s="851"/>
      <c r="O145" s="427">
        <f t="shared" si="11"/>
        <v>0</v>
      </c>
      <c r="P145" s="427">
        <f t="shared" si="12"/>
        <v>0</v>
      </c>
      <c r="Q145" s="434"/>
    </row>
    <row r="146" spans="3:17" ht="12.75">
      <c r="C146" s="422">
        <f>IF(D94="","-",+C145+1)</f>
        <v>2054</v>
      </c>
      <c r="D146" s="423">
        <f t="shared" si="13"/>
        <v>0</v>
      </c>
      <c r="E146" s="425">
        <f t="shared" si="8"/>
        <v>0</v>
      </c>
      <c r="F146" s="425">
        <f t="shared" si="9"/>
        <v>0</v>
      </c>
      <c r="G146" s="423">
        <f t="shared" si="6"/>
        <v>0</v>
      </c>
      <c r="H146" s="426">
        <f>+J95*G146+E146</f>
        <v>0</v>
      </c>
      <c r="I146" s="415">
        <f>+J96*G146+E146</f>
        <v>0</v>
      </c>
      <c r="J146" s="427">
        <f t="shared" si="7"/>
        <v>0</v>
      </c>
      <c r="K146" s="427"/>
      <c r="L146" s="851"/>
      <c r="M146" s="427">
        <f t="shared" si="10"/>
        <v>0</v>
      </c>
      <c r="N146" s="851"/>
      <c r="O146" s="427">
        <f t="shared" si="11"/>
        <v>0</v>
      </c>
      <c r="P146" s="427">
        <f t="shared" si="12"/>
        <v>0</v>
      </c>
      <c r="Q146" s="434"/>
    </row>
    <row r="147" spans="3:17" ht="12.75">
      <c r="C147" s="422">
        <f>IF(D94="","-",+C146+1)</f>
        <v>2055</v>
      </c>
      <c r="D147" s="423">
        <f t="shared" si="13"/>
        <v>0</v>
      </c>
      <c r="E147" s="425">
        <f t="shared" si="8"/>
        <v>0</v>
      </c>
      <c r="F147" s="425">
        <f t="shared" si="9"/>
        <v>0</v>
      </c>
      <c r="G147" s="423">
        <f t="shared" si="6"/>
        <v>0</v>
      </c>
      <c r="H147" s="426">
        <f>+J95*G147+E147</f>
        <v>0</v>
      </c>
      <c r="I147" s="415">
        <f>+J96*G147+E147</f>
        <v>0</v>
      </c>
      <c r="J147" s="427">
        <f t="shared" si="7"/>
        <v>0</v>
      </c>
      <c r="K147" s="427"/>
      <c r="L147" s="851"/>
      <c r="M147" s="427">
        <f t="shared" si="10"/>
        <v>0</v>
      </c>
      <c r="N147" s="851"/>
      <c r="O147" s="427">
        <f t="shared" si="11"/>
        <v>0</v>
      </c>
      <c r="P147" s="427">
        <f t="shared" si="12"/>
        <v>0</v>
      </c>
      <c r="Q147" s="434"/>
    </row>
    <row r="148" spans="3:17" ht="12.75">
      <c r="C148" s="422">
        <f>IF(D94="","-",+C147+1)</f>
        <v>2056</v>
      </c>
      <c r="D148" s="423">
        <f t="shared" si="13"/>
        <v>0</v>
      </c>
      <c r="E148" s="425">
        <f t="shared" si="8"/>
        <v>0</v>
      </c>
      <c r="F148" s="425">
        <f t="shared" si="9"/>
        <v>0</v>
      </c>
      <c r="G148" s="423">
        <f t="shared" si="6"/>
        <v>0</v>
      </c>
      <c r="H148" s="426">
        <f>+J95*G148+E148</f>
        <v>0</v>
      </c>
      <c r="I148" s="415">
        <f>+J96*G148+E148</f>
        <v>0</v>
      </c>
      <c r="J148" s="427">
        <f t="shared" si="7"/>
        <v>0</v>
      </c>
      <c r="K148" s="427"/>
      <c r="L148" s="851"/>
      <c r="M148" s="427">
        <f t="shared" si="10"/>
        <v>0</v>
      </c>
      <c r="N148" s="851"/>
      <c r="O148" s="427">
        <f t="shared" si="11"/>
        <v>0</v>
      </c>
      <c r="P148" s="427">
        <f t="shared" si="12"/>
        <v>0</v>
      </c>
      <c r="Q148" s="434"/>
    </row>
    <row r="149" spans="3:17" ht="12.75">
      <c r="C149" s="422">
        <f>IF(D94="","-",+C148+1)</f>
        <v>2057</v>
      </c>
      <c r="D149" s="423">
        <f t="shared" si="13"/>
        <v>0</v>
      </c>
      <c r="E149" s="425">
        <f t="shared" si="8"/>
        <v>0</v>
      </c>
      <c r="F149" s="425">
        <f t="shared" si="9"/>
        <v>0</v>
      </c>
      <c r="G149" s="423">
        <f t="shared" si="6"/>
        <v>0</v>
      </c>
      <c r="H149" s="426">
        <f>+J95*G149+E149</f>
        <v>0</v>
      </c>
      <c r="I149" s="415">
        <f>+J96*G149+E149</f>
        <v>0</v>
      </c>
      <c r="J149" s="427">
        <f t="shared" si="7"/>
        <v>0</v>
      </c>
      <c r="K149" s="427"/>
      <c r="L149" s="851"/>
      <c r="M149" s="427">
        <f t="shared" si="10"/>
        <v>0</v>
      </c>
      <c r="N149" s="851"/>
      <c r="O149" s="427">
        <f t="shared" si="11"/>
        <v>0</v>
      </c>
      <c r="P149" s="427">
        <f t="shared" si="12"/>
        <v>0</v>
      </c>
      <c r="Q149" s="434"/>
    </row>
    <row r="150" spans="3:17" ht="12.75">
      <c r="C150" s="422">
        <f>IF(D94="","-",+C149+1)</f>
        <v>2058</v>
      </c>
      <c r="D150" s="423">
        <f t="shared" si="13"/>
        <v>0</v>
      </c>
      <c r="E150" s="425">
        <f t="shared" si="8"/>
        <v>0</v>
      </c>
      <c r="F150" s="425">
        <f t="shared" si="9"/>
        <v>0</v>
      </c>
      <c r="G150" s="423">
        <f t="shared" si="6"/>
        <v>0</v>
      </c>
      <c r="H150" s="426">
        <f>+J95*G150+E150</f>
        <v>0</v>
      </c>
      <c r="I150" s="415">
        <f>+J96*G150+E150</f>
        <v>0</v>
      </c>
      <c r="J150" s="427">
        <f t="shared" si="7"/>
        <v>0</v>
      </c>
      <c r="K150" s="427"/>
      <c r="L150" s="851"/>
      <c r="M150" s="427">
        <f t="shared" si="10"/>
        <v>0</v>
      </c>
      <c r="N150" s="851"/>
      <c r="O150" s="427">
        <f t="shared" si="11"/>
        <v>0</v>
      </c>
      <c r="P150" s="427">
        <f t="shared" si="12"/>
        <v>0</v>
      </c>
      <c r="Q150" s="434"/>
    </row>
    <row r="151" spans="3:17" ht="12.75">
      <c r="C151" s="422">
        <f>IF(D94="","-",+C150+1)</f>
        <v>2059</v>
      </c>
      <c r="D151" s="423">
        <f t="shared" si="13"/>
        <v>0</v>
      </c>
      <c r="E151" s="425">
        <f t="shared" si="8"/>
        <v>0</v>
      </c>
      <c r="F151" s="425">
        <f t="shared" si="9"/>
        <v>0</v>
      </c>
      <c r="G151" s="423">
        <f t="shared" si="6"/>
        <v>0</v>
      </c>
      <c r="H151" s="426">
        <f>+J95*G151+E151</f>
        <v>0</v>
      </c>
      <c r="I151" s="415">
        <f>+J96*G151+E151</f>
        <v>0</v>
      </c>
      <c r="J151" s="427">
        <f t="shared" si="7"/>
        <v>0</v>
      </c>
      <c r="K151" s="427"/>
      <c r="L151" s="851"/>
      <c r="M151" s="427">
        <f t="shared" si="10"/>
        <v>0</v>
      </c>
      <c r="N151" s="851"/>
      <c r="O151" s="427">
        <f t="shared" si="11"/>
        <v>0</v>
      </c>
      <c r="P151" s="427">
        <f t="shared" si="12"/>
        <v>0</v>
      </c>
      <c r="Q151" s="434"/>
    </row>
    <row r="152" spans="3:17" ht="12.75">
      <c r="C152" s="422">
        <f>IF(D94="","-",+C151+1)</f>
        <v>2060</v>
      </c>
      <c r="D152" s="423">
        <f t="shared" si="13"/>
        <v>0</v>
      </c>
      <c r="E152" s="425">
        <f t="shared" si="8"/>
        <v>0</v>
      </c>
      <c r="F152" s="425">
        <f t="shared" si="9"/>
        <v>0</v>
      </c>
      <c r="G152" s="423">
        <f t="shared" si="6"/>
        <v>0</v>
      </c>
      <c r="H152" s="426">
        <f>+J95*G152+E152</f>
        <v>0</v>
      </c>
      <c r="I152" s="415">
        <f>+J96*G152+E152</f>
        <v>0</v>
      </c>
      <c r="J152" s="427">
        <f t="shared" si="7"/>
        <v>0</v>
      </c>
      <c r="K152" s="427"/>
      <c r="L152" s="851"/>
      <c r="M152" s="427">
        <f t="shared" si="10"/>
        <v>0</v>
      </c>
      <c r="N152" s="851"/>
      <c r="O152" s="427">
        <f t="shared" si="11"/>
        <v>0</v>
      </c>
      <c r="P152" s="427">
        <f t="shared" si="12"/>
        <v>0</v>
      </c>
      <c r="Q152" s="434"/>
    </row>
    <row r="153" spans="3:17" ht="12.75">
      <c r="C153" s="422">
        <f>IF(D94="","-",+C152+1)</f>
        <v>2061</v>
      </c>
      <c r="D153" s="423">
        <f t="shared" si="13"/>
        <v>0</v>
      </c>
      <c r="E153" s="425">
        <f t="shared" si="8"/>
        <v>0</v>
      </c>
      <c r="F153" s="425">
        <f t="shared" si="9"/>
        <v>0</v>
      </c>
      <c r="G153" s="423">
        <f t="shared" si="6"/>
        <v>0</v>
      </c>
      <c r="H153" s="426">
        <f>+J95*G153+E153</f>
        <v>0</v>
      </c>
      <c r="I153" s="415">
        <f>+J96*G153+E153</f>
        <v>0</v>
      </c>
      <c r="J153" s="427">
        <f t="shared" si="7"/>
        <v>0</v>
      </c>
      <c r="K153" s="427"/>
      <c r="L153" s="851"/>
      <c r="M153" s="427">
        <f t="shared" si="10"/>
        <v>0</v>
      </c>
      <c r="N153" s="851"/>
      <c r="O153" s="427">
        <f t="shared" si="11"/>
        <v>0</v>
      </c>
      <c r="P153" s="427">
        <f t="shared" si="12"/>
        <v>0</v>
      </c>
      <c r="Q153" s="434"/>
    </row>
    <row r="154" spans="3:17" ht="12.75">
      <c r="C154" s="422">
        <f>IF(D94="","-",+C153+1)</f>
        <v>2062</v>
      </c>
      <c r="D154" s="423">
        <f>F153</f>
        <v>0</v>
      </c>
      <c r="E154" s="425">
        <f t="shared" si="8"/>
        <v>0</v>
      </c>
      <c r="F154" s="425">
        <f t="shared" si="9"/>
        <v>0</v>
      </c>
      <c r="G154" s="423">
        <f t="shared" si="6"/>
        <v>0</v>
      </c>
      <c r="H154" s="426">
        <f>+J95*G154+E154</f>
        <v>0</v>
      </c>
      <c r="I154" s="415">
        <f>+J96*G154+E154</f>
        <v>0</v>
      </c>
      <c r="J154" s="427">
        <f t="shared" si="7"/>
        <v>0</v>
      </c>
      <c r="K154" s="427"/>
      <c r="L154" s="851"/>
      <c r="M154" s="427">
        <f t="shared" si="10"/>
        <v>0</v>
      </c>
      <c r="N154" s="851"/>
      <c r="O154" s="427">
        <f t="shared" si="11"/>
        <v>0</v>
      </c>
      <c r="P154" s="427">
        <f t="shared" si="12"/>
        <v>0</v>
      </c>
      <c r="Q154" s="434"/>
    </row>
    <row r="155" spans="3:17" ht="12.75">
      <c r="C155" s="422">
        <f>IF(D94="","-",+C154+1)</f>
        <v>2063</v>
      </c>
      <c r="D155" s="423">
        <f t="shared" si="13"/>
        <v>0</v>
      </c>
      <c r="E155" s="425">
        <f t="shared" si="8"/>
        <v>0</v>
      </c>
      <c r="F155" s="425">
        <f t="shared" si="9"/>
        <v>0</v>
      </c>
      <c r="G155" s="423">
        <f t="shared" si="6"/>
        <v>0</v>
      </c>
      <c r="H155" s="426">
        <f>+J95*G155+E155</f>
        <v>0</v>
      </c>
      <c r="I155" s="415">
        <f>+J96*G155+E155</f>
        <v>0</v>
      </c>
      <c r="J155" s="427">
        <f t="shared" si="7"/>
        <v>0</v>
      </c>
      <c r="K155" s="427"/>
      <c r="L155" s="851"/>
      <c r="M155" s="427">
        <f t="shared" si="10"/>
        <v>0</v>
      </c>
      <c r="N155" s="851"/>
      <c r="O155" s="427">
        <f t="shared" si="11"/>
        <v>0</v>
      </c>
      <c r="P155" s="427">
        <f t="shared" si="12"/>
        <v>0</v>
      </c>
      <c r="Q155" s="434"/>
    </row>
    <row r="156" spans="3:17" ht="12.75">
      <c r="C156" s="422">
        <f>IF(D94="","-",+C155+1)</f>
        <v>2064</v>
      </c>
      <c r="D156" s="423">
        <f t="shared" si="13"/>
        <v>0</v>
      </c>
      <c r="E156" s="425">
        <f t="shared" si="8"/>
        <v>0</v>
      </c>
      <c r="F156" s="425">
        <f t="shared" si="9"/>
        <v>0</v>
      </c>
      <c r="G156" s="423">
        <f t="shared" si="6"/>
        <v>0</v>
      </c>
      <c r="H156" s="426">
        <f>+J95*G156+E156</f>
        <v>0</v>
      </c>
      <c r="I156" s="415">
        <f>+J96*G156+E156</f>
        <v>0</v>
      </c>
      <c r="J156" s="427">
        <f t="shared" si="7"/>
        <v>0</v>
      </c>
      <c r="K156" s="427"/>
      <c r="L156" s="851"/>
      <c r="M156" s="427">
        <f t="shared" si="10"/>
        <v>0</v>
      </c>
      <c r="N156" s="851"/>
      <c r="O156" s="427">
        <f t="shared" si="11"/>
        <v>0</v>
      </c>
      <c r="P156" s="427">
        <f t="shared" si="12"/>
        <v>0</v>
      </c>
      <c r="Q156" s="434"/>
    </row>
    <row r="157" spans="3:17" ht="12.75">
      <c r="C157" s="422">
        <f>IF(D94="","-",+C156+1)</f>
        <v>2065</v>
      </c>
      <c r="D157" s="423">
        <f t="shared" si="13"/>
        <v>0</v>
      </c>
      <c r="E157" s="425">
        <f t="shared" si="8"/>
        <v>0</v>
      </c>
      <c r="F157" s="425">
        <f t="shared" si="9"/>
        <v>0</v>
      </c>
      <c r="G157" s="423">
        <f t="shared" si="6"/>
        <v>0</v>
      </c>
      <c r="H157" s="426">
        <f>+J95*G157+E157</f>
        <v>0</v>
      </c>
      <c r="I157" s="415">
        <f>+J96*G157+E157</f>
        <v>0</v>
      </c>
      <c r="J157" s="427">
        <f t="shared" si="7"/>
        <v>0</v>
      </c>
      <c r="K157" s="427"/>
      <c r="L157" s="851"/>
      <c r="M157" s="427">
        <f t="shared" si="10"/>
        <v>0</v>
      </c>
      <c r="N157" s="851"/>
      <c r="O157" s="427">
        <f t="shared" si="11"/>
        <v>0</v>
      </c>
      <c r="P157" s="427">
        <f t="shared" si="12"/>
        <v>0</v>
      </c>
      <c r="Q157" s="434"/>
    </row>
    <row r="158" spans="3:17" ht="12.75">
      <c r="C158" s="422">
        <f>IF(D94="","-",+C157+1)</f>
        <v>2066</v>
      </c>
      <c r="D158" s="423">
        <f t="shared" si="13"/>
        <v>0</v>
      </c>
      <c r="E158" s="425">
        <f t="shared" si="8"/>
        <v>0</v>
      </c>
      <c r="F158" s="425">
        <f t="shared" si="9"/>
        <v>0</v>
      </c>
      <c r="G158" s="423">
        <f t="shared" si="6"/>
        <v>0</v>
      </c>
      <c r="H158" s="426">
        <f>+J95*G158+E158</f>
        <v>0</v>
      </c>
      <c r="I158" s="415">
        <f>+J96*G158+E158</f>
        <v>0</v>
      </c>
      <c r="J158" s="427">
        <f t="shared" si="7"/>
        <v>0</v>
      </c>
      <c r="K158" s="427"/>
      <c r="L158" s="851"/>
      <c r="M158" s="427">
        <f t="shared" si="10"/>
        <v>0</v>
      </c>
      <c r="N158" s="851"/>
      <c r="O158" s="427">
        <f t="shared" si="11"/>
        <v>0</v>
      </c>
      <c r="P158" s="427">
        <f t="shared" si="12"/>
        <v>0</v>
      </c>
      <c r="Q158" s="434"/>
    </row>
    <row r="159" spans="3:17" ht="13.5" thickBot="1">
      <c r="C159" s="428">
        <f>IF(D94="","-",+C158+1)</f>
        <v>2067</v>
      </c>
      <c r="D159" s="429">
        <f t="shared" si="13"/>
        <v>0</v>
      </c>
      <c r="E159" s="430">
        <f t="shared" si="8"/>
        <v>0</v>
      </c>
      <c r="F159" s="430">
        <f t="shared" si="9"/>
        <v>0</v>
      </c>
      <c r="G159" s="429">
        <f t="shared" si="6"/>
        <v>0</v>
      </c>
      <c r="H159" s="431">
        <f>+J95*G159+E159</f>
        <v>0</v>
      </c>
      <c r="I159" s="431">
        <f>+J96*G159+E159</f>
        <v>0</v>
      </c>
      <c r="J159" s="433">
        <f t="shared" si="7"/>
        <v>0</v>
      </c>
      <c r="K159" s="427"/>
      <c r="L159" s="852"/>
      <c r="M159" s="433">
        <f t="shared" si="10"/>
        <v>0</v>
      </c>
      <c r="N159" s="852"/>
      <c r="O159" s="433">
        <f t="shared" si="11"/>
        <v>0</v>
      </c>
      <c r="P159" s="433">
        <f t="shared" si="12"/>
        <v>0</v>
      </c>
      <c r="Q159" s="434"/>
    </row>
    <row r="160" spans="3:17" ht="12.75">
      <c r="C160" s="423" t="s">
        <v>141</v>
      </c>
      <c r="D160" s="402"/>
      <c r="E160" s="402">
        <f>SUM(E100:E159)</f>
        <v>0</v>
      </c>
      <c r="F160" s="402"/>
      <c r="G160" s="402"/>
      <c r="H160" s="402">
        <f>SUM(H100:H159)</f>
        <v>0</v>
      </c>
      <c r="I160" s="402">
        <f>SUM(I100:I159)</f>
        <v>0</v>
      </c>
      <c r="J160" s="402">
        <f>SUM(J100:J159)</f>
        <v>0</v>
      </c>
      <c r="K160" s="402"/>
      <c r="L160" s="402"/>
      <c r="M160" s="402"/>
      <c r="N160" s="402"/>
      <c r="O160" s="402"/>
      <c r="Q160" s="402"/>
    </row>
    <row r="161" spans="4:17" ht="6.75" customHeight="1">
      <c r="D161" s="378"/>
      <c r="E161" s="103"/>
      <c r="F161" s="103"/>
      <c r="G161" s="103"/>
      <c r="H161" s="103"/>
      <c r="I161" s="379"/>
      <c r="J161" s="379"/>
      <c r="K161" s="402"/>
      <c r="L161" s="379"/>
      <c r="M161" s="379"/>
      <c r="N161" s="379"/>
      <c r="O161" s="379"/>
      <c r="Q161" s="402"/>
    </row>
    <row r="162" spans="3:17" ht="12.75">
      <c r="C162" s="453" t="s">
        <v>387</v>
      </c>
      <c r="D162" s="378"/>
      <c r="E162" s="103"/>
      <c r="F162" s="103"/>
      <c r="G162" s="103"/>
      <c r="H162" s="103"/>
      <c r="I162" s="379"/>
      <c r="J162" s="379"/>
      <c r="K162" s="402"/>
      <c r="L162" s="379"/>
      <c r="M162" s="379"/>
      <c r="N162" s="379"/>
      <c r="O162" s="379"/>
      <c r="Q162" s="402"/>
    </row>
    <row r="163" spans="4:17" ht="6.75" customHeight="1">
      <c r="D163" s="378"/>
      <c r="E163" s="103"/>
      <c r="F163" s="103"/>
      <c r="G163" s="103"/>
      <c r="H163" s="103"/>
      <c r="I163" s="379"/>
      <c r="J163" s="379"/>
      <c r="K163" s="402"/>
      <c r="L163" s="379"/>
      <c r="M163" s="379"/>
      <c r="N163" s="379"/>
      <c r="O163" s="379"/>
      <c r="Q163" s="402"/>
    </row>
    <row r="164" spans="3:17" ht="12.75">
      <c r="C164" s="405" t="s">
        <v>155</v>
      </c>
      <c r="D164" s="423"/>
      <c r="E164" s="423"/>
      <c r="F164" s="423"/>
      <c r="G164" s="423"/>
      <c r="H164" s="402"/>
      <c r="I164" s="402"/>
      <c r="J164" s="434"/>
      <c r="K164" s="434"/>
      <c r="L164" s="434"/>
      <c r="M164" s="434"/>
      <c r="N164" s="434"/>
      <c r="O164" s="434"/>
      <c r="Q164" s="434"/>
    </row>
    <row r="165" spans="3:17" ht="12.75">
      <c r="C165" s="438" t="s">
        <v>388</v>
      </c>
      <c r="D165" s="423"/>
      <c r="E165" s="423"/>
      <c r="F165" s="423"/>
      <c r="G165" s="423"/>
      <c r="H165" s="402"/>
      <c r="I165" s="402"/>
      <c r="J165" s="434"/>
      <c r="K165" s="434"/>
      <c r="L165" s="434"/>
      <c r="M165" s="434"/>
      <c r="N165" s="434"/>
      <c r="O165" s="434"/>
      <c r="Q165" s="434"/>
    </row>
    <row r="166" spans="3:17" ht="12.75">
      <c r="C166" s="438" t="s">
        <v>142</v>
      </c>
      <c r="D166" s="423"/>
      <c r="E166" s="423"/>
      <c r="F166" s="423"/>
      <c r="G166" s="423"/>
      <c r="H166" s="402"/>
      <c r="I166" s="402"/>
      <c r="J166" s="434"/>
      <c r="K166" s="434"/>
      <c r="L166" s="434"/>
      <c r="M166" s="434"/>
      <c r="N166" s="434"/>
      <c r="O166" s="434"/>
      <c r="Q166" s="434"/>
    </row>
    <row r="167" spans="3:17" ht="12.75">
      <c r="C167" s="438"/>
      <c r="D167" s="423"/>
      <c r="E167" s="423"/>
      <c r="F167" s="423"/>
      <c r="G167" s="423"/>
      <c r="H167" s="402"/>
      <c r="I167" s="402"/>
      <c r="J167" s="434"/>
      <c r="K167" s="434"/>
      <c r="L167" s="434"/>
      <c r="M167" s="434"/>
      <c r="N167" s="434"/>
      <c r="O167" s="434"/>
      <c r="Q167" s="434"/>
    </row>
  </sheetData>
  <sheetProtection/>
  <mergeCells count="9">
    <mergeCell ref="L93:O93"/>
    <mergeCell ref="A1:P1"/>
    <mergeCell ref="C9:I10"/>
    <mergeCell ref="A2:P2"/>
    <mergeCell ref="A3:P3"/>
    <mergeCell ref="A4:P4"/>
    <mergeCell ref="C47:D48"/>
    <mergeCell ref="C56:D57"/>
    <mergeCell ref="C67:D68"/>
  </mergeCells>
  <conditionalFormatting sqref="C100:C159">
    <cfRule type="cellIs" priority="1" dxfId="0" operator="equal" stopIfTrue="1">
      <formula>$J$93</formula>
    </cfRule>
  </conditionalFormatting>
  <printOptions/>
  <pageMargins left="0.26" right="1.28" top="1" bottom="0.52" header="0.75" footer="0.5"/>
  <pageSetup fitToHeight="2" horizontalDpi="600" verticalDpi="600" orientation="landscape" scale="44" r:id="rId1"/>
  <headerFooter alignWithMargins="0">
    <oddHeader>&amp;R&amp;"Arial,Bold"Formula Rate 
&amp;A
Page &amp;P of &amp;N</oddHeader>
  </headerFooter>
  <rowBreaks count="1" manualBreakCount="1">
    <brk id="8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1">
      <selection activeCell="A1" sqref="A1"/>
    </sheetView>
  </sheetViews>
  <sheetFormatPr defaultColWidth="9.140625" defaultRowHeight="12.75"/>
  <cols>
    <col min="1" max="1" width="9.140625" style="165" customWidth="1"/>
    <col min="2" max="2" width="37.57421875" style="574" customWidth="1"/>
    <col min="3" max="3" width="31.57421875" style="571" customWidth="1"/>
    <col min="4" max="4" width="14.8515625" style="571" customWidth="1"/>
    <col min="5" max="5" width="18.00390625" style="571" customWidth="1"/>
    <col min="6" max="6" width="11.140625" style="571" bestFit="1" customWidth="1"/>
    <col min="7" max="7" width="10.7109375" style="571" bestFit="1" customWidth="1"/>
    <col min="8" max="8" width="11.140625" style="922" bestFit="1" customWidth="1"/>
    <col min="9" max="16384" width="9.140625" style="571" customWidth="1"/>
  </cols>
  <sheetData>
    <row r="1" spans="2:16" ht="15">
      <c r="B1" s="1141" t="s">
        <v>282</v>
      </c>
      <c r="C1" s="1141"/>
      <c r="D1" s="1141"/>
      <c r="E1" s="1141"/>
      <c r="F1" s="1141"/>
      <c r="G1" s="175"/>
      <c r="H1" s="918"/>
      <c r="I1" s="175"/>
      <c r="J1" s="175"/>
      <c r="K1" s="175"/>
      <c r="L1" s="175"/>
      <c r="M1" s="175"/>
      <c r="N1" s="175"/>
      <c r="O1" s="175"/>
      <c r="P1" s="175"/>
    </row>
    <row r="2" spans="2:16" ht="15">
      <c r="B2" s="1140" t="str">
        <f>"Cost of Service Formula Rate Using "&amp;'KGPCo Historic TCOS'!O1&amp;" FF1 Balances"</f>
        <v>Cost of Service Formula Rate Using 2011 FF1 Balances</v>
      </c>
      <c r="C2" s="1140"/>
      <c r="D2" s="1140"/>
      <c r="E2" s="1140"/>
      <c r="F2" s="1140"/>
      <c r="G2" s="291"/>
      <c r="H2" s="919"/>
      <c r="I2" s="291"/>
      <c r="J2" s="291"/>
      <c r="K2" s="291"/>
      <c r="L2" s="291"/>
      <c r="M2" s="291"/>
      <c r="N2" s="291"/>
      <c r="O2" s="291"/>
      <c r="P2" s="291"/>
    </row>
    <row r="3" spans="2:11" ht="18">
      <c r="B3" s="1141" t="s">
        <v>435</v>
      </c>
      <c r="C3" s="1141"/>
      <c r="D3" s="1141"/>
      <c r="E3" s="1141"/>
      <c r="F3" s="1141"/>
      <c r="G3" s="528"/>
      <c r="H3" s="920"/>
      <c r="I3" s="528"/>
      <c r="J3" s="528"/>
      <c r="K3" s="528"/>
    </row>
    <row r="4" spans="2:11" ht="18">
      <c r="B4" s="1120" t="str">
        <f>+'KGPCo Historic TCOS'!F7</f>
        <v>KINGSPORT POWER COMPANY</v>
      </c>
      <c r="C4" s="1141"/>
      <c r="D4" s="1141"/>
      <c r="E4" s="1141"/>
      <c r="F4" s="1141"/>
      <c r="G4" s="546"/>
      <c r="H4" s="921"/>
      <c r="I4" s="546"/>
      <c r="J4" s="546"/>
      <c r="K4" s="546"/>
    </row>
    <row r="6" spans="2:4" ht="18.75" customHeight="1">
      <c r="B6" s="140" t="s">
        <v>76</v>
      </c>
      <c r="C6" s="516"/>
      <c r="D6" s="573"/>
    </row>
    <row r="7" spans="2:4" ht="12.75">
      <c r="B7" s="572"/>
      <c r="C7" s="516"/>
      <c r="D7" s="573"/>
    </row>
    <row r="8" spans="2:30" ht="18">
      <c r="B8" s="111" t="s">
        <v>757</v>
      </c>
      <c r="C8" s="111" t="s">
        <v>758</v>
      </c>
      <c r="D8" s="111" t="s">
        <v>759</v>
      </c>
      <c r="E8" s="111" t="s">
        <v>760</v>
      </c>
      <c r="F8" s="111" t="s">
        <v>676</v>
      </c>
      <c r="R8" s="527"/>
      <c r="S8" s="527"/>
      <c r="T8" s="527"/>
      <c r="U8" s="527"/>
      <c r="V8" s="527"/>
      <c r="W8" s="527"/>
      <c r="X8" s="527"/>
      <c r="Y8" s="527"/>
      <c r="Z8" s="527"/>
      <c r="AA8" s="527"/>
      <c r="AB8" s="618"/>
      <c r="AC8" s="618"/>
      <c r="AD8" s="618"/>
    </row>
    <row r="9" spans="1:3" ht="12.75">
      <c r="A9" s="1119" t="s">
        <v>374</v>
      </c>
      <c r="B9" s="572"/>
      <c r="C9" s="573"/>
    </row>
    <row r="10" spans="1:7" ht="12.75">
      <c r="A10" s="1184"/>
      <c r="B10" s="115" t="s">
        <v>389</v>
      </c>
      <c r="C10" s="1005" t="s">
        <v>77</v>
      </c>
      <c r="D10" s="115" t="s">
        <v>390</v>
      </c>
      <c r="E10" s="115" t="s">
        <v>391</v>
      </c>
      <c r="F10" s="115" t="s">
        <v>770</v>
      </c>
      <c r="G10" s="114"/>
    </row>
    <row r="11" spans="1:7" ht="12.75">
      <c r="A11" s="766"/>
      <c r="B11" s="115"/>
      <c r="C11" s="115"/>
      <c r="D11" s="115"/>
      <c r="E11" s="1183" t="s">
        <v>847</v>
      </c>
      <c r="F11" s="115"/>
      <c r="G11" s="114"/>
    </row>
    <row r="12" spans="1:5" ht="12.75">
      <c r="A12" s="1014"/>
      <c r="C12" s="115"/>
      <c r="D12" s="116"/>
      <c r="E12" s="1183"/>
    </row>
    <row r="13" spans="1:4" ht="12.75">
      <c r="A13" s="1014">
        <v>1</v>
      </c>
      <c r="B13" s="575" t="s">
        <v>345</v>
      </c>
      <c r="C13" s="573"/>
      <c r="D13" s="573"/>
    </row>
    <row r="14" spans="1:6" ht="12.75">
      <c r="A14" s="1014">
        <f>+A13+1</f>
        <v>2</v>
      </c>
      <c r="B14" s="650" t="s">
        <v>325</v>
      </c>
      <c r="C14" s="554">
        <v>20000000</v>
      </c>
      <c r="D14" s="651">
        <v>0.0452</v>
      </c>
      <c r="E14" s="649">
        <f>C14*D14</f>
        <v>904000</v>
      </c>
      <c r="F14" s="112"/>
    </row>
    <row r="15" spans="1:6" ht="12.75" customHeight="1">
      <c r="A15" s="1014">
        <f>+A14+1</f>
        <v>3</v>
      </c>
      <c r="B15" s="657"/>
      <c r="C15" s="658"/>
      <c r="D15" s="659"/>
      <c r="E15" s="655"/>
      <c r="F15" s="112"/>
    </row>
    <row r="16" spans="1:6" ht="12.75">
      <c r="A16" s="1014"/>
      <c r="B16" s="652"/>
      <c r="C16" s="517"/>
      <c r="D16" s="154"/>
      <c r="E16" s="112"/>
      <c r="F16" s="112"/>
    </row>
    <row r="17" spans="1:6" ht="12.75">
      <c r="A17" s="1014">
        <f>+A15+1</f>
        <v>4</v>
      </c>
      <c r="B17" s="652" t="s">
        <v>416</v>
      </c>
      <c r="C17" s="646"/>
      <c r="D17" s="154"/>
      <c r="E17" s="112"/>
      <c r="F17" s="112"/>
    </row>
    <row r="18" spans="1:6" ht="12.75">
      <c r="A18" s="1014">
        <f>+A17+1</f>
        <v>5</v>
      </c>
      <c r="B18" s="650" t="s">
        <v>13</v>
      </c>
      <c r="C18" s="554"/>
      <c r="D18" s="651"/>
      <c r="E18" s="649">
        <f aca="true" t="shared" si="0" ref="E18:E27">+C18*D18</f>
        <v>0</v>
      </c>
      <c r="F18" s="112"/>
    </row>
    <row r="19" spans="1:6" ht="12.75">
      <c r="A19" s="1014">
        <f aca="true" t="shared" si="1" ref="A19:A40">+A18+1</f>
        <v>6</v>
      </c>
      <c r="B19" s="650"/>
      <c r="C19" s="554"/>
      <c r="D19" s="651"/>
      <c r="E19" s="649">
        <f t="shared" si="0"/>
        <v>0</v>
      </c>
      <c r="F19" s="112"/>
    </row>
    <row r="20" spans="1:6" ht="12.75">
      <c r="A20" s="1014">
        <f t="shared" si="1"/>
        <v>7</v>
      </c>
      <c r="B20" s="650"/>
      <c r="C20" s="554"/>
      <c r="D20" s="651"/>
      <c r="E20" s="649">
        <f t="shared" si="0"/>
        <v>0</v>
      </c>
      <c r="F20" s="112"/>
    </row>
    <row r="21" spans="1:6" ht="12.75">
      <c r="A21" s="1014">
        <f t="shared" si="1"/>
        <v>8</v>
      </c>
      <c r="B21" s="650"/>
      <c r="C21" s="554"/>
      <c r="D21" s="651"/>
      <c r="E21" s="649">
        <f t="shared" si="0"/>
        <v>0</v>
      </c>
      <c r="F21" s="112"/>
    </row>
    <row r="22" spans="1:6" ht="12.75">
      <c r="A22" s="1014">
        <f t="shared" si="1"/>
        <v>9</v>
      </c>
      <c r="B22" s="650"/>
      <c r="C22" s="554"/>
      <c r="D22" s="651"/>
      <c r="E22" s="649">
        <f t="shared" si="0"/>
        <v>0</v>
      </c>
      <c r="F22" s="112"/>
    </row>
    <row r="23" spans="1:6" ht="12.75">
      <c r="A23" s="1014">
        <f t="shared" si="1"/>
        <v>10</v>
      </c>
      <c r="B23" s="650"/>
      <c r="C23" s="554"/>
      <c r="D23" s="651"/>
      <c r="E23" s="649">
        <f>+C23*D23</f>
        <v>0</v>
      </c>
      <c r="F23" s="112"/>
    </row>
    <row r="24" spans="1:6" ht="12.75">
      <c r="A24" s="1014">
        <f t="shared" si="1"/>
        <v>11</v>
      </c>
      <c r="B24" s="650"/>
      <c r="C24" s="554"/>
      <c r="D24" s="651"/>
      <c r="E24" s="649">
        <f t="shared" si="0"/>
        <v>0</v>
      </c>
      <c r="F24" s="112"/>
    </row>
    <row r="25" spans="1:6" ht="12.75">
      <c r="A25" s="1014">
        <f t="shared" si="1"/>
        <v>12</v>
      </c>
      <c r="B25" s="650"/>
      <c r="C25" s="554"/>
      <c r="D25" s="651"/>
      <c r="E25" s="649">
        <f t="shared" si="0"/>
        <v>0</v>
      </c>
      <c r="F25" s="112"/>
    </row>
    <row r="26" spans="1:6" ht="12.75" customHeight="1">
      <c r="A26" s="1014">
        <f t="shared" si="1"/>
        <v>13</v>
      </c>
      <c r="B26" s="511"/>
      <c r="C26" s="554"/>
      <c r="D26" s="651"/>
      <c r="E26" s="649">
        <f t="shared" si="0"/>
        <v>0</v>
      </c>
      <c r="F26" s="112"/>
    </row>
    <row r="27" spans="1:6" ht="12.75" customHeight="1">
      <c r="A27" s="1014">
        <f t="shared" si="1"/>
        <v>14</v>
      </c>
      <c r="B27" s="511"/>
      <c r="C27" s="554"/>
      <c r="D27" s="651"/>
      <c r="E27" s="649">
        <f t="shared" si="0"/>
        <v>0</v>
      </c>
      <c r="F27" s="112"/>
    </row>
    <row r="28" spans="1:6" ht="12.75" customHeight="1">
      <c r="A28" s="1014"/>
      <c r="B28" s="653"/>
      <c r="C28" s="436"/>
      <c r="D28" s="654"/>
      <c r="E28" s="649"/>
      <c r="F28" s="112"/>
    </row>
    <row r="29" spans="1:6" ht="12.75" customHeight="1">
      <c r="A29" s="1014">
        <f>+A27+1</f>
        <v>15</v>
      </c>
      <c r="B29" s="657"/>
      <c r="C29" s="658"/>
      <c r="D29" s="660"/>
      <c r="E29" s="649">
        <f aca="true" t="shared" si="2" ref="E29:E39">+C29*D29</f>
        <v>0</v>
      </c>
      <c r="F29" s="112"/>
    </row>
    <row r="30" spans="1:6" ht="12.75" customHeight="1">
      <c r="A30" s="1014">
        <f t="shared" si="1"/>
        <v>16</v>
      </c>
      <c r="B30" s="657"/>
      <c r="C30" s="658"/>
      <c r="D30" s="660"/>
      <c r="E30" s="649">
        <f t="shared" si="2"/>
        <v>0</v>
      </c>
      <c r="F30" s="112"/>
    </row>
    <row r="31" spans="1:6" ht="12.75" customHeight="1">
      <c r="A31" s="1014">
        <f t="shared" si="1"/>
        <v>17</v>
      </c>
      <c r="B31" s="657"/>
      <c r="C31" s="658"/>
      <c r="D31" s="660"/>
      <c r="E31" s="649">
        <f t="shared" si="2"/>
        <v>0</v>
      </c>
      <c r="F31" s="112"/>
    </row>
    <row r="32" spans="1:6" ht="12.75" customHeight="1">
      <c r="A32" s="1014">
        <f t="shared" si="1"/>
        <v>18</v>
      </c>
      <c r="B32" s="657"/>
      <c r="C32" s="658"/>
      <c r="D32" s="660"/>
      <c r="E32" s="649">
        <f t="shared" si="2"/>
        <v>0</v>
      </c>
      <c r="F32" s="112"/>
    </row>
    <row r="33" spans="1:6" ht="12.75" customHeight="1">
      <c r="A33" s="1014">
        <f t="shared" si="1"/>
        <v>19</v>
      </c>
      <c r="B33" s="657"/>
      <c r="C33" s="658"/>
      <c r="D33" s="660"/>
      <c r="E33" s="649">
        <f t="shared" si="2"/>
        <v>0</v>
      </c>
      <c r="F33" s="112"/>
    </row>
    <row r="34" spans="1:6" ht="12.75" customHeight="1">
      <c r="A34" s="1014">
        <f t="shared" si="1"/>
        <v>20</v>
      </c>
      <c r="B34" s="657"/>
      <c r="C34" s="658"/>
      <c r="D34" s="660"/>
      <c r="E34" s="649">
        <f t="shared" si="2"/>
        <v>0</v>
      </c>
      <c r="F34" s="112"/>
    </row>
    <row r="35" spans="1:6" ht="12.75" customHeight="1">
      <c r="A35" s="1014">
        <f t="shared" si="1"/>
        <v>21</v>
      </c>
      <c r="B35" s="657"/>
      <c r="C35" s="658"/>
      <c r="D35" s="660"/>
      <c r="E35" s="649">
        <f t="shared" si="2"/>
        <v>0</v>
      </c>
      <c r="F35" s="112"/>
    </row>
    <row r="36" spans="1:6" ht="12.75" customHeight="1">
      <c r="A36" s="1014">
        <f t="shared" si="1"/>
        <v>22</v>
      </c>
      <c r="B36" s="657"/>
      <c r="C36" s="658"/>
      <c r="D36" s="660"/>
      <c r="E36" s="649">
        <f t="shared" si="2"/>
        <v>0</v>
      </c>
      <c r="F36" s="112"/>
    </row>
    <row r="37" spans="1:6" ht="12.75" customHeight="1">
      <c r="A37" s="1014">
        <f t="shared" si="1"/>
        <v>23</v>
      </c>
      <c r="B37" s="657"/>
      <c r="C37" s="658"/>
      <c r="D37" s="660"/>
      <c r="E37" s="649">
        <f t="shared" si="2"/>
        <v>0</v>
      </c>
      <c r="F37" s="112"/>
    </row>
    <row r="38" spans="1:6" ht="12.75" customHeight="1">
      <c r="A38" s="1014">
        <f t="shared" si="1"/>
        <v>24</v>
      </c>
      <c r="B38" s="657"/>
      <c r="C38" s="658"/>
      <c r="D38" s="651"/>
      <c r="E38" s="649">
        <f t="shared" si="2"/>
        <v>0</v>
      </c>
      <c r="F38" s="112"/>
    </row>
    <row r="39" spans="1:6" ht="12.75" customHeight="1">
      <c r="A39" s="1014">
        <f t="shared" si="1"/>
        <v>25</v>
      </c>
      <c r="B39" s="657"/>
      <c r="C39" s="658"/>
      <c r="D39" s="651"/>
      <c r="E39" s="649">
        <f t="shared" si="2"/>
        <v>0</v>
      </c>
      <c r="F39" s="112"/>
    </row>
    <row r="40" spans="1:6" ht="12.75" customHeight="1">
      <c r="A40" s="1014">
        <f t="shared" si="1"/>
        <v>26</v>
      </c>
      <c r="B40" s="657"/>
      <c r="C40" s="658"/>
      <c r="D40" s="1052">
        <f>IF(C40=0,0,+E40/C40)</f>
        <v>0</v>
      </c>
      <c r="E40" s="656"/>
      <c r="F40" s="112"/>
    </row>
    <row r="41" spans="1:6" ht="12.75" customHeight="1">
      <c r="A41" s="1014"/>
      <c r="B41" s="665"/>
      <c r="C41" s="665"/>
      <c r="D41" s="665"/>
      <c r="E41" s="665"/>
      <c r="F41" s="664"/>
    </row>
    <row r="42" spans="1:6" ht="12.75" customHeight="1">
      <c r="A42" s="1014">
        <f>+A40+1</f>
        <v>27</v>
      </c>
      <c r="B42" s="648" t="s">
        <v>341</v>
      </c>
      <c r="C42" s="436"/>
      <c r="D42" s="647"/>
      <c r="E42" s="649"/>
      <c r="F42" s="112"/>
    </row>
    <row r="43" spans="1:7" ht="12.75" customHeight="1">
      <c r="A43" s="1014">
        <f>+A42+1</f>
        <v>28</v>
      </c>
      <c r="B43" s="653" t="s">
        <v>848</v>
      </c>
      <c r="C43" s="646" t="s">
        <v>849</v>
      </c>
      <c r="D43" s="647"/>
      <c r="E43" s="656">
        <v>0</v>
      </c>
      <c r="F43" s="916"/>
      <c r="G43" s="917"/>
    </row>
    <row r="44" spans="1:7" ht="12.75" customHeight="1">
      <c r="A44" s="1014">
        <f>+A43+1</f>
        <v>29</v>
      </c>
      <c r="B44" s="653" t="str">
        <f>"Allowable Hedge Amortization (See Ln "&amp;A65&amp;" Below)"</f>
        <v>Allowable Hedge Amortization (See Ln 45 Below)</v>
      </c>
      <c r="C44" s="646"/>
      <c r="D44" s="647"/>
      <c r="E44" s="730">
        <f>+E65</f>
        <v>0</v>
      </c>
      <c r="F44" s="916"/>
      <c r="G44" s="917"/>
    </row>
    <row r="45" spans="1:7" ht="12.75" customHeight="1">
      <c r="A45" s="1014">
        <f>+A44+1</f>
        <v>30</v>
      </c>
      <c r="B45" s="653" t="s">
        <v>397</v>
      </c>
      <c r="C45" s="646" t="s">
        <v>342</v>
      </c>
      <c r="D45" s="647"/>
      <c r="E45" s="656">
        <v>0</v>
      </c>
      <c r="F45" s="112"/>
      <c r="G45" s="917"/>
    </row>
    <row r="46" spans="1:6" ht="12.75" customHeight="1">
      <c r="A46" s="1014">
        <f>+A45+1</f>
        <v>31</v>
      </c>
      <c r="B46" s="653" t="s">
        <v>417</v>
      </c>
      <c r="C46" s="646" t="s">
        <v>340</v>
      </c>
      <c r="D46" s="647"/>
      <c r="E46" s="656">
        <v>0</v>
      </c>
      <c r="F46" s="112"/>
    </row>
    <row r="47" spans="1:6" ht="12.75" customHeight="1">
      <c r="A47" s="1014"/>
      <c r="B47" s="653"/>
      <c r="C47" s="436"/>
      <c r="D47" s="647"/>
      <c r="E47" s="649"/>
      <c r="F47" s="112"/>
    </row>
    <row r="48" spans="1:6" ht="12.75" customHeight="1">
      <c r="A48" s="1014">
        <f>+A46+1</f>
        <v>32</v>
      </c>
      <c r="B48" s="648" t="s">
        <v>398</v>
      </c>
      <c r="C48" s="436"/>
      <c r="D48" s="647"/>
      <c r="E48" s="649"/>
      <c r="F48" s="112"/>
    </row>
    <row r="49" spans="1:6" ht="12.75" customHeight="1">
      <c r="A49" s="1014">
        <f>+A48+1</f>
        <v>33</v>
      </c>
      <c r="B49" s="653" t="s">
        <v>399</v>
      </c>
      <c r="C49" s="646" t="s">
        <v>343</v>
      </c>
      <c r="D49" s="647"/>
      <c r="E49" s="656">
        <v>0</v>
      </c>
      <c r="F49" s="112"/>
    </row>
    <row r="50" spans="1:6" ht="12.75" customHeight="1">
      <c r="A50" s="1014">
        <f>+A49+1</f>
        <v>34</v>
      </c>
      <c r="B50" s="653" t="s">
        <v>400</v>
      </c>
      <c r="C50" s="646" t="s">
        <v>344</v>
      </c>
      <c r="D50" s="647"/>
      <c r="E50" s="656">
        <v>0</v>
      </c>
      <c r="F50" s="112"/>
    </row>
    <row r="51" spans="1:5" ht="12.75" customHeight="1">
      <c r="A51" s="1014"/>
      <c r="B51" s="576" t="s">
        <v>709</v>
      </c>
      <c r="C51" s="573"/>
      <c r="E51" s="577"/>
    </row>
    <row r="52" spans="1:5" ht="12.75" customHeight="1">
      <c r="A52" s="1014">
        <f>+A50+1</f>
        <v>35</v>
      </c>
      <c r="B52" s="170" t="s">
        <v>401</v>
      </c>
      <c r="C52" s="661">
        <f>SUM(C14:C50)</f>
        <v>20000000</v>
      </c>
      <c r="D52" s="662">
        <f>+E52/C52</f>
        <v>0.0452</v>
      </c>
      <c r="E52" s="661">
        <f>SUM(E14:E50)</f>
        <v>904000</v>
      </c>
    </row>
    <row r="53" spans="1:5" ht="12.75" customHeight="1">
      <c r="A53" s="1014"/>
      <c r="B53" s="572"/>
      <c r="C53" s="578"/>
      <c r="E53" s="579"/>
    </row>
    <row r="54" spans="1:4" ht="12.75" customHeight="1">
      <c r="A54" s="1014">
        <f>+A52+1</f>
        <v>36</v>
      </c>
      <c r="B54" s="575" t="s">
        <v>346</v>
      </c>
      <c r="C54" s="115" t="s">
        <v>402</v>
      </c>
      <c r="D54" s="573"/>
    </row>
    <row r="55" spans="1:5" ht="12.75">
      <c r="A55" s="1014">
        <f>+A54+1</f>
        <v>37</v>
      </c>
      <c r="B55" s="657" t="s">
        <v>12</v>
      </c>
      <c r="C55" s="658">
        <v>0</v>
      </c>
      <c r="D55" s="663">
        <v>0</v>
      </c>
      <c r="E55" s="649">
        <f>+C55*D55</f>
        <v>0</v>
      </c>
    </row>
    <row r="56" spans="1:5" ht="12.75">
      <c r="A56" s="1014">
        <f>+A55+1</f>
        <v>38</v>
      </c>
      <c r="B56" s="657"/>
      <c r="C56" s="658"/>
      <c r="D56" s="663"/>
      <c r="E56" s="649">
        <f>+C56*D56</f>
        <v>0</v>
      </c>
    </row>
    <row r="57" spans="1:5" ht="12.75">
      <c r="A57" s="1014">
        <f>+A56+1</f>
        <v>39</v>
      </c>
      <c r="B57" s="657"/>
      <c r="C57" s="658"/>
      <c r="D57" s="663"/>
      <c r="E57" s="649">
        <f>+C57*D57</f>
        <v>0</v>
      </c>
    </row>
    <row r="58" ht="12.75">
      <c r="A58" s="1014"/>
    </row>
    <row r="59" spans="1:5" ht="12.75">
      <c r="A59" s="1014">
        <f>+A57+1</f>
        <v>40</v>
      </c>
      <c r="B59" s="170" t="s">
        <v>403</v>
      </c>
      <c r="C59" s="661">
        <f>SUM(C55:C57)</f>
        <v>0</v>
      </c>
      <c r="D59" s="662">
        <f>IF(E59=0,0,+E59/C59)</f>
        <v>0</v>
      </c>
      <c r="E59" s="661">
        <f>SUM(E55:E57)</f>
        <v>0</v>
      </c>
    </row>
    <row r="60" ht="12.75">
      <c r="A60" s="1015"/>
    </row>
    <row r="61" spans="1:5" ht="12.75" customHeight="1">
      <c r="A61" s="280">
        <f>+A59+1</f>
        <v>41</v>
      </c>
      <c r="B61" s="873" t="str">
        <f>"Net Total Hedge Gains and Losses  (WS M, Ln "&amp;'KGPCo WS M - Avg Cap Structure'!A58&amp;", (E))"</f>
        <v>Net Total Hedge Gains and Losses  (WS M, Ln 35, (E))</v>
      </c>
      <c r="C61" s="722"/>
      <c r="D61" s="722"/>
      <c r="E61" s="1047">
        <f>'KGPCo WS M - Avg Cap Structure'!E58</f>
        <v>0</v>
      </c>
    </row>
    <row r="62" spans="1:5" ht="12.75">
      <c r="A62" s="280">
        <f>+A61+1</f>
        <v>42</v>
      </c>
      <c r="B62" s="873" t="str">
        <f>"Total Projected Capital Structure Balance for "&amp;'KGPCo Historic TCOS'!O1+1&amp;" (Projected TCOS, Ln "&amp;'KGPCo Projected TCOS'!B258&amp;")"</f>
        <v>Total Projected Capital Structure Balance for 2012 (Projected TCOS, Ln 165)</v>
      </c>
      <c r="C62" s="719"/>
      <c r="D62" s="653"/>
      <c r="E62" s="968">
        <f>'KGPCo Projected TCOS'!G258</f>
        <v>49452938</v>
      </c>
    </row>
    <row r="63" spans="1:5" ht="12.75">
      <c r="A63" s="280">
        <f>+A62+1</f>
        <v>43</v>
      </c>
      <c r="B63" s="873" t="s">
        <v>429</v>
      </c>
      <c r="C63" s="719"/>
      <c r="D63" s="653"/>
      <c r="E63" s="969">
        <v>0.0005</v>
      </c>
    </row>
    <row r="64" spans="1:5" ht="13.5" thickBot="1">
      <c r="A64" s="280">
        <f>+A63+1</f>
        <v>44</v>
      </c>
      <c r="B64" s="873" t="s">
        <v>430</v>
      </c>
      <c r="C64" s="719"/>
      <c r="D64" s="653"/>
      <c r="E64" s="970">
        <f>+E62*E63</f>
        <v>24726.469</v>
      </c>
    </row>
    <row r="65" spans="1:5" ht="13.5" thickBot="1">
      <c r="A65" s="280">
        <f>+A64+1</f>
        <v>45</v>
      </c>
      <c r="B65" s="902" t="str">
        <f>"Recoverable Hedge Amortization (Lesser of Ln "&amp;A61&amp;" or Ln "&amp;A64&amp;")"</f>
        <v>Recoverable Hedge Amortization (Lesser of Ln 41 or Ln 44)</v>
      </c>
      <c r="C65" s="719"/>
      <c r="D65" s="653"/>
      <c r="E65" s="905">
        <f>+IF(E64&lt;E61,E64,E61)</f>
        <v>0</v>
      </c>
    </row>
  </sheetData>
  <sheetProtection/>
  <mergeCells count="6">
    <mergeCell ref="E11:E12"/>
    <mergeCell ref="A9:A10"/>
    <mergeCell ref="B4:F4"/>
    <mergeCell ref="B1:F1"/>
    <mergeCell ref="B2:F2"/>
    <mergeCell ref="B3:F3"/>
  </mergeCells>
  <printOptions/>
  <pageMargins left="0.37" right="0.81" top="1" bottom="0.53"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view="pageBreakPreview" zoomScaleSheetLayoutView="100" zoomScalePageLayoutView="0" workbookViewId="0" topLeftCell="A1">
      <selection activeCell="A1" sqref="A1"/>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71" customWidth="1"/>
    <col min="9" max="16384" width="9.140625" style="571" customWidth="1"/>
  </cols>
  <sheetData>
    <row r="1" spans="1:5" ht="15">
      <c r="A1" s="1141" t="s">
        <v>280</v>
      </c>
      <c r="B1" s="1141"/>
      <c r="C1" s="1141"/>
      <c r="D1" s="1141"/>
      <c r="E1" s="1141"/>
    </row>
    <row r="2" spans="1:5" ht="15">
      <c r="A2" s="1140" t="s">
        <v>281</v>
      </c>
      <c r="B2" s="1140"/>
      <c r="C2" s="1140"/>
      <c r="D2" s="1140"/>
      <c r="E2" s="1140"/>
    </row>
    <row r="3" spans="1:5" ht="12.75">
      <c r="A3" s="1185" t="str">
        <f>'KGPCo Historic TCOS'!F7</f>
        <v>KINGSPORT POWER COMPANY</v>
      </c>
      <c r="B3" s="1185"/>
      <c r="C3" s="1185"/>
      <c r="D3" s="1185"/>
      <c r="E3" s="1185"/>
    </row>
    <row r="4" spans="1:5" ht="54.75" customHeight="1">
      <c r="A4" s="1190" t="str">
        <f>"Worksheet M Supporting Calculation of Capital Structure and Weighted Average Cost of Capital Based on Average of Balances At 12/31/"&amp;'KGPCo Historic TCOS'!O1-1&amp;" &amp; 12/31/"&amp;'KGPCo Historic TCOS'!O1&amp;""</f>
        <v>Worksheet M Supporting Calculation of Capital Structure and Weighted Average Cost of Capital Based on Average of Balances At 12/31/2010 &amp; 12/31/2011</v>
      </c>
      <c r="B4" s="1191"/>
      <c r="C4" s="1191"/>
      <c r="D4" s="1191"/>
      <c r="E4" s="1191"/>
    </row>
    <row r="5" spans="1:6" ht="9.75" customHeight="1">
      <c r="A5" s="345"/>
      <c r="B5" s="1140"/>
      <c r="C5" s="1140"/>
      <c r="D5" s="1140"/>
      <c r="E5" s="1140"/>
      <c r="F5" s="1140"/>
    </row>
    <row r="6" spans="1:6" ht="19.5" customHeight="1">
      <c r="A6" s="703" t="s">
        <v>757</v>
      </c>
      <c r="B6" s="703" t="s">
        <v>758</v>
      </c>
      <c r="C6" s="703" t="s">
        <v>548</v>
      </c>
      <c r="D6" s="703" t="s">
        <v>760</v>
      </c>
      <c r="E6" s="703" t="s">
        <v>676</v>
      </c>
      <c r="F6" s="704"/>
    </row>
    <row r="7" spans="1:7" ht="18.75" customHeight="1">
      <c r="A7" s="571"/>
      <c r="B7" s="700"/>
      <c r="C7" s="270" t="s">
        <v>253</v>
      </c>
      <c r="D7" s="270" t="s">
        <v>253</v>
      </c>
      <c r="E7" s="700"/>
      <c r="F7" s="700"/>
      <c r="G7" s="705"/>
    </row>
    <row r="8" spans="1:6" ht="12.75" customHeight="1">
      <c r="A8" s="116" t="s">
        <v>764</v>
      </c>
      <c r="B8" s="700"/>
      <c r="C8" s="504" t="str">
        <f>"12/31/"&amp;'KGPCo Historic TCOS'!O1</f>
        <v>12/31/2011</v>
      </c>
      <c r="D8" s="504" t="str">
        <f>"12/31/"&amp;'KGPCo Historic TCOS'!O1-1</f>
        <v>12/31/2010</v>
      </c>
      <c r="E8" s="706" t="s">
        <v>457</v>
      </c>
      <c r="F8" s="700"/>
    </row>
    <row r="9" spans="1:9" ht="12.75" customHeight="1">
      <c r="A9" s="707" t="s">
        <v>549</v>
      </c>
      <c r="C9" s="708"/>
      <c r="D9" s="708"/>
      <c r="E9" s="149"/>
      <c r="F9" s="29"/>
      <c r="G9" s="29"/>
      <c r="H9" s="29"/>
      <c r="I9" s="123"/>
    </row>
    <row r="10" spans="1:9" ht="12.75" customHeight="1">
      <c r="A10" s="382"/>
      <c r="B10" s="709"/>
      <c r="C10" s="708"/>
      <c r="D10" s="708"/>
      <c r="E10" s="149"/>
      <c r="F10" s="29"/>
      <c r="G10" s="29"/>
      <c r="H10" s="29"/>
      <c r="I10" s="123"/>
    </row>
    <row r="11" spans="1:8" ht="12.75" customHeight="1">
      <c r="A11" s="382">
        <v>1</v>
      </c>
      <c r="B11" s="708" t="s">
        <v>559</v>
      </c>
      <c r="C11" s="710">
        <v>29450188</v>
      </c>
      <c r="D11" s="710">
        <f>27572018</f>
        <v>27572018</v>
      </c>
      <c r="E11" s="711">
        <f>AVERAGE(C11:D11)</f>
        <v>28511103</v>
      </c>
      <c r="F11" s="29"/>
      <c r="G11" s="29"/>
      <c r="H11" s="29"/>
    </row>
    <row r="12" spans="1:8" ht="12.75" customHeight="1">
      <c r="A12" s="382">
        <f>+A11+1</f>
        <v>2</v>
      </c>
      <c r="B12" s="708" t="str">
        <f>"Less Preferred Stock (Ln "&amp;A85&amp;" Below)"</f>
        <v>Less Preferred Stock (Ln 55 Below)</v>
      </c>
      <c r="C12" s="708">
        <f>+C85</f>
        <v>0</v>
      </c>
      <c r="D12" s="708">
        <f>+D85</f>
        <v>0</v>
      </c>
      <c r="E12" s="711">
        <f>AVERAGE(C12:D12)</f>
        <v>0</v>
      </c>
      <c r="F12" s="29"/>
      <c r="G12" s="29"/>
      <c r="H12" s="29"/>
    </row>
    <row r="13" spans="1:8" ht="12.75" customHeight="1">
      <c r="A13" s="382">
        <f>+A12+1</f>
        <v>3</v>
      </c>
      <c r="B13" s="708" t="s">
        <v>560</v>
      </c>
      <c r="C13" s="712">
        <v>0</v>
      </c>
      <c r="D13" s="712">
        <v>0</v>
      </c>
      <c r="E13" s="942">
        <f>AVERAGE(C13:D13)</f>
        <v>0</v>
      </c>
      <c r="F13" s="29"/>
      <c r="G13" s="29"/>
      <c r="H13" s="29"/>
    </row>
    <row r="14" spans="1:8" ht="12.75" customHeight="1">
      <c r="A14" s="382">
        <f>+A13+1</f>
        <v>4</v>
      </c>
      <c r="B14" s="708" t="s">
        <v>561</v>
      </c>
      <c r="C14" s="940">
        <v>-2751</v>
      </c>
      <c r="D14" s="940">
        <v>6182.09</v>
      </c>
      <c r="E14" s="944">
        <f>AVERAGE(C14:D14)</f>
        <v>1715.545</v>
      </c>
      <c r="F14" s="29"/>
      <c r="G14" s="29"/>
      <c r="H14" s="29"/>
    </row>
    <row r="15" spans="1:8" ht="12.75" customHeight="1">
      <c r="A15" s="713">
        <f>+A14+1</f>
        <v>5</v>
      </c>
      <c r="B15" s="714" t="s">
        <v>550</v>
      </c>
      <c r="C15" s="367">
        <f>+C11-C12-C13-C14</f>
        <v>29452939</v>
      </c>
      <c r="D15" s="367">
        <f>+D11-D12-D13-D14</f>
        <v>27565835.91</v>
      </c>
      <c r="E15" s="715">
        <f>+E11-E12-E13-E14</f>
        <v>28509387.455</v>
      </c>
      <c r="F15" s="26"/>
      <c r="G15" s="26"/>
      <c r="H15" s="26"/>
    </row>
    <row r="16" spans="3:4" ht="12.75" customHeight="1">
      <c r="C16" s="516"/>
      <c r="D16" s="653"/>
    </row>
    <row r="17" spans="1:4" ht="12.75" customHeight="1">
      <c r="A17" s="707" t="s">
        <v>551</v>
      </c>
      <c r="C17" s="516"/>
      <c r="D17" s="517"/>
    </row>
    <row r="18" spans="1:4" ht="12.75" customHeight="1">
      <c r="A18" s="382"/>
      <c r="B18" s="709"/>
      <c r="C18" s="111"/>
      <c r="D18" s="517"/>
    </row>
    <row r="19" spans="1:5" ht="12.75" customHeight="1">
      <c r="A19" s="382">
        <f>+A15+1</f>
        <v>6</v>
      </c>
      <c r="B19" s="716" t="s">
        <v>562</v>
      </c>
      <c r="C19" s="712">
        <v>0</v>
      </c>
      <c r="D19" s="712">
        <v>0</v>
      </c>
      <c r="E19" s="942">
        <f aca="true" t="shared" si="0" ref="E19:E24">IF(C19=D19=0,0,AVERAGE(C19:D19))</f>
        <v>0</v>
      </c>
    </row>
    <row r="20" spans="1:5" ht="12.75" customHeight="1">
      <c r="A20" s="382">
        <f>+A19+1</f>
        <v>7</v>
      </c>
      <c r="B20" s="716" t="s">
        <v>563</v>
      </c>
      <c r="C20" s="712">
        <v>0</v>
      </c>
      <c r="D20" s="712">
        <v>0</v>
      </c>
      <c r="E20" s="942">
        <f t="shared" si="0"/>
        <v>0</v>
      </c>
    </row>
    <row r="21" spans="1:5" ht="12.75" customHeight="1">
      <c r="A21" s="382">
        <f>+A20+1</f>
        <v>8</v>
      </c>
      <c r="B21" s="873" t="s">
        <v>85</v>
      </c>
      <c r="C21" s="724">
        <v>20000000</v>
      </c>
      <c r="D21" s="724">
        <v>20000000</v>
      </c>
      <c r="E21" s="711">
        <f t="shared" si="0"/>
        <v>20000000</v>
      </c>
    </row>
    <row r="22" spans="1:5" ht="12.75" customHeight="1">
      <c r="A22" s="382">
        <f>+A21+1</f>
        <v>9</v>
      </c>
      <c r="B22" s="873" t="s">
        <v>564</v>
      </c>
      <c r="C22" s="712">
        <v>0</v>
      </c>
      <c r="D22" s="712">
        <v>0</v>
      </c>
      <c r="E22" s="942">
        <f t="shared" si="0"/>
        <v>0</v>
      </c>
    </row>
    <row r="23" spans="1:5" ht="12.75" customHeight="1" thickBot="1">
      <c r="A23" s="382">
        <f>+A22+1</f>
        <v>10</v>
      </c>
      <c r="B23" s="873" t="str">
        <f>"Less: Fair Value Hedges (See Note on Ln "&amp;A26&amp;" below)"</f>
        <v>Less: Fair Value Hedges (See Note on Ln 12 below)</v>
      </c>
      <c r="C23" s="941">
        <v>0</v>
      </c>
      <c r="D23" s="941">
        <v>0</v>
      </c>
      <c r="E23" s="943">
        <f t="shared" si="0"/>
        <v>0</v>
      </c>
    </row>
    <row r="24" spans="1:5" ht="12.75" customHeight="1">
      <c r="A24" s="713">
        <f>+A23+1</f>
        <v>11</v>
      </c>
      <c r="B24" s="717" t="s">
        <v>552</v>
      </c>
      <c r="C24" s="395">
        <f>+C19-C20+C21+C22-C23</f>
        <v>20000000</v>
      </c>
      <c r="D24" s="395">
        <f>+D19-D20+D21+D22-D23</f>
        <v>20000000</v>
      </c>
      <c r="E24" s="718">
        <f t="shared" si="0"/>
        <v>20000000</v>
      </c>
    </row>
    <row r="25" spans="1:5" ht="12.75" customHeight="1">
      <c r="A25" s="713"/>
      <c r="B25" s="717"/>
      <c r="C25" s="395"/>
      <c r="D25" s="395"/>
      <c r="E25" s="718"/>
    </row>
    <row r="26" spans="1:5" ht="12.75" customHeight="1">
      <c r="A26" s="382">
        <f>+A24+1</f>
        <v>12</v>
      </c>
      <c r="B26" s="1187" t="s">
        <v>541</v>
      </c>
      <c r="C26" s="1137"/>
      <c r="D26" s="1137"/>
      <c r="E26" s="1137"/>
    </row>
    <row r="27" spans="1:5" ht="12.75" customHeight="1">
      <c r="A27" s="713"/>
      <c r="B27" s="1137"/>
      <c r="C27" s="1137"/>
      <c r="D27" s="1137"/>
      <c r="E27" s="1137"/>
    </row>
    <row r="28" spans="1:5" ht="12.75" customHeight="1">
      <c r="A28" s="382"/>
      <c r="B28" s="1137"/>
      <c r="C28" s="1137"/>
      <c r="D28" s="1137"/>
      <c r="E28" s="1137"/>
    </row>
    <row r="29" spans="1:4" ht="12.75" customHeight="1">
      <c r="A29" s="382">
        <f>+A26+1</f>
        <v>13</v>
      </c>
      <c r="B29" s="717" t="str">
        <f>"Annual Interest Expense for "&amp;'KGPCo Historic TCOS'!O1</f>
        <v>Annual Interest Expense for 2011</v>
      </c>
      <c r="C29" s="646"/>
      <c r="D29" s="653"/>
    </row>
    <row r="30" spans="1:5" ht="12.75" customHeight="1">
      <c r="A30" s="382">
        <f aca="true" t="shared" si="1" ref="A30:A37">+A29+1</f>
        <v>14</v>
      </c>
      <c r="B30" s="716" t="s">
        <v>565</v>
      </c>
      <c r="C30" s="646"/>
      <c r="D30" s="653"/>
      <c r="E30" s="554">
        <v>904000</v>
      </c>
    </row>
    <row r="31" spans="1:5" ht="26.25" customHeight="1">
      <c r="A31" s="907">
        <f t="shared" si="1"/>
        <v>15</v>
      </c>
      <c r="B31" s="1186" t="str">
        <f>"Less: Total Hedge Gain/Expense Accumulated from p 256-257, col. (i) of FERC Form 1  included in Ln "&amp;A30&amp;" and shown in Ln "&amp;A56&amp;" below."</f>
        <v>Less: Total Hedge Gain/Expense Accumulated from p 256-257, col. (i) of FERC Form 1  included in Ln 14 and shown in Ln 34 below.</v>
      </c>
      <c r="C31" s="1145"/>
      <c r="D31" s="154"/>
      <c r="E31" s="509">
        <f>+C56</f>
        <v>0</v>
      </c>
    </row>
    <row r="32" spans="1:5" ht="12.75" customHeight="1">
      <c r="A32" s="382">
        <f t="shared" si="1"/>
        <v>16</v>
      </c>
      <c r="B32" s="873" t="str">
        <f>"Plus:  Allowed Hedge Recovery From Ln "&amp;A62&amp;"  below."</f>
        <v>Plus:  Allowed Hedge Recovery From Ln 39  below.</v>
      </c>
      <c r="C32" s="509"/>
      <c r="D32" s="154"/>
      <c r="E32" s="646">
        <f>+E62</f>
        <v>0</v>
      </c>
    </row>
    <row r="33" spans="1:5" ht="12.75" customHeight="1">
      <c r="A33" s="382">
        <f t="shared" si="1"/>
        <v>17</v>
      </c>
      <c r="B33" s="716" t="s">
        <v>553</v>
      </c>
      <c r="C33"/>
      <c r="D33"/>
      <c r="E33" s="554">
        <v>0</v>
      </c>
    </row>
    <row r="34" spans="1:5" ht="12.75" customHeight="1">
      <c r="A34" s="382">
        <f t="shared" si="1"/>
        <v>18</v>
      </c>
      <c r="B34" s="716" t="s">
        <v>554</v>
      </c>
      <c r="C34" s="719"/>
      <c r="D34" s="653"/>
      <c r="E34" s="554">
        <v>0</v>
      </c>
    </row>
    <row r="35" spans="1:5" ht="12.75" customHeight="1">
      <c r="A35" s="382">
        <f t="shared" si="1"/>
        <v>19</v>
      </c>
      <c r="B35" s="716" t="s">
        <v>555</v>
      </c>
      <c r="C35" s="719"/>
      <c r="D35" s="653"/>
      <c r="E35" s="724">
        <v>0</v>
      </c>
    </row>
    <row r="36" spans="1:5" ht="12.75" customHeight="1">
      <c r="A36" s="382">
        <f t="shared" si="1"/>
        <v>20</v>
      </c>
      <c r="B36" s="716" t="s">
        <v>556</v>
      </c>
      <c r="C36" s="719"/>
      <c r="D36" s="653"/>
      <c r="E36" s="725">
        <v>0</v>
      </c>
    </row>
    <row r="37" spans="1:5" ht="12.75" customHeight="1">
      <c r="A37" s="713">
        <f t="shared" si="1"/>
        <v>21</v>
      </c>
      <c r="B37" s="717" t="str">
        <f>"Total Interest Expense (Ln "&amp;A30&amp;" + Ln "&amp;A33&amp;" + Ln "&amp;A34&amp;" - Ln "&amp;A35&amp;" - Ln "&amp;A36&amp;")"</f>
        <v>Total Interest Expense (Ln 14 + Ln 17 + Ln 18 - Ln 19 - Ln 20)</v>
      </c>
      <c r="C37" s="720"/>
      <c r="D37" s="709"/>
      <c r="E37" s="721">
        <f>+E30-E31+E32+E33+E34-E35-E36</f>
        <v>904000</v>
      </c>
    </row>
    <row r="38" spans="1:5" ht="12.75" customHeight="1" thickBot="1">
      <c r="A38" s="382"/>
      <c r="B38" s="716"/>
      <c r="C38" s="719"/>
      <c r="D38" s="653"/>
      <c r="E38" s="722"/>
    </row>
    <row r="39" spans="1:5" ht="12.75" customHeight="1" thickBot="1">
      <c r="A39" s="713">
        <f>+A37+1</f>
        <v>22</v>
      </c>
      <c r="B39" s="717" t="str">
        <f>"Average Cost of Debt for "&amp;'KGPCo Historic TCOS'!O1&amp;" (Ln 21/Ln 11)"</f>
        <v>Average Cost of Debt for 2011 (Ln 21/Ln 11)</v>
      </c>
      <c r="C39" s="720"/>
      <c r="D39" s="653"/>
      <c r="E39" s="723">
        <f>+E37/E24</f>
        <v>0.0452</v>
      </c>
    </row>
    <row r="40" spans="1:5" ht="12.75" customHeight="1">
      <c r="A40" s="864"/>
      <c r="B40" s="716"/>
      <c r="C40" s="719"/>
      <c r="D40" s="653"/>
      <c r="E40" s="719"/>
    </row>
    <row r="41" spans="1:6" ht="28.5" customHeight="1">
      <c r="A41" s="736"/>
      <c r="B41" s="1189" t="s">
        <v>538</v>
      </c>
      <c r="C41" s="1189"/>
      <c r="D41" s="1189"/>
      <c r="E41" s="1189"/>
      <c r="F41" s="865"/>
    </row>
    <row r="42" spans="1:6" ht="107.25" customHeight="1">
      <c r="A42" s="866">
        <f>+A39+1</f>
        <v>23</v>
      </c>
      <c r="B42" s="1192" t="s">
        <v>418</v>
      </c>
      <c r="C42" s="1137"/>
      <c r="D42" s="1137"/>
      <c r="E42" s="1137"/>
      <c r="F42" s="872"/>
    </row>
    <row r="43" spans="1:10" ht="12" customHeight="1">
      <c r="A43" s="736"/>
      <c r="B43" s="862"/>
      <c r="C43" s="862"/>
      <c r="D43" s="862"/>
      <c r="E43" s="862"/>
      <c r="G43" s="1188" t="s">
        <v>65</v>
      </c>
      <c r="H43" s="1188"/>
      <c r="I43"/>
      <c r="J43"/>
    </row>
    <row r="44" spans="1:10" ht="42.75" customHeight="1">
      <c r="A44" s="382"/>
      <c r="B44" s="867" t="s">
        <v>233</v>
      </c>
      <c r="C44" s="868" t="str">
        <f>"Total Hedge (Gain)/Loss for "&amp;'KGPCo Historic TCOS'!O1</f>
        <v>Total Hedge (Gain)/Loss for 2011</v>
      </c>
      <c r="D44" s="868" t="str">
        <f>"Less Excludable Amounts (See NOTE on Line "&amp;A42&amp;")"</f>
        <v>Less Excludable Amounts (See NOTE on Line 23)</v>
      </c>
      <c r="E44" s="868" t="s">
        <v>539</v>
      </c>
      <c r="F44" s="868" t="s">
        <v>64</v>
      </c>
      <c r="G44" s="868" t="s">
        <v>136</v>
      </c>
      <c r="H44" s="868" t="s">
        <v>138</v>
      </c>
      <c r="I44"/>
      <c r="J44"/>
    </row>
    <row r="45" spans="1:8" ht="12.75" customHeight="1">
      <c r="A45" s="382">
        <f>+A42+1</f>
        <v>24</v>
      </c>
      <c r="B45" s="657" t="s">
        <v>540</v>
      </c>
      <c r="C45" s="712">
        <v>0</v>
      </c>
      <c r="D45" s="658">
        <v>0</v>
      </c>
      <c r="E45" s="863">
        <f aca="true" t="shared" si="2" ref="E45:E54">+C45-D45</f>
        <v>0</v>
      </c>
      <c r="F45" s="924"/>
      <c r="G45" s="924"/>
      <c r="H45" s="924"/>
    </row>
    <row r="46" spans="1:8" ht="12.75" customHeight="1">
      <c r="A46" s="382">
        <f aca="true" t="shared" si="3" ref="A46:A54">+A45+1</f>
        <v>25</v>
      </c>
      <c r="B46" s="657" t="s">
        <v>540</v>
      </c>
      <c r="C46" s="712">
        <v>0</v>
      </c>
      <c r="D46" s="657"/>
      <c r="E46" s="863">
        <f t="shared" si="2"/>
        <v>0</v>
      </c>
      <c r="F46" s="924"/>
      <c r="G46" s="924"/>
      <c r="H46" s="924"/>
    </row>
    <row r="47" spans="1:8" ht="12.75" customHeight="1">
      <c r="A47" s="382">
        <f t="shared" si="3"/>
        <v>26</v>
      </c>
      <c r="B47" s="657" t="s">
        <v>540</v>
      </c>
      <c r="C47" s="712">
        <v>0</v>
      </c>
      <c r="D47" s="657"/>
      <c r="E47" s="863">
        <f t="shared" si="2"/>
        <v>0</v>
      </c>
      <c r="F47" s="924"/>
      <c r="G47" s="924"/>
      <c r="H47" s="924"/>
    </row>
    <row r="48" spans="1:8" ht="12.75" customHeight="1">
      <c r="A48" s="382">
        <f t="shared" si="3"/>
        <v>27</v>
      </c>
      <c r="B48" s="657" t="s">
        <v>540</v>
      </c>
      <c r="C48" s="712">
        <v>0</v>
      </c>
      <c r="D48" s="657"/>
      <c r="E48" s="863">
        <f t="shared" si="2"/>
        <v>0</v>
      </c>
      <c r="F48" s="924"/>
      <c r="G48" s="924"/>
      <c r="H48" s="924"/>
    </row>
    <row r="49" spans="1:8" ht="12.75" customHeight="1">
      <c r="A49" s="382">
        <f t="shared" si="3"/>
        <v>28</v>
      </c>
      <c r="B49" s="657" t="s">
        <v>540</v>
      </c>
      <c r="C49" s="712">
        <v>0</v>
      </c>
      <c r="D49" s="869"/>
      <c r="E49" s="863">
        <f t="shared" si="2"/>
        <v>0</v>
      </c>
      <c r="F49" s="924"/>
      <c r="G49" s="924"/>
      <c r="H49" s="924"/>
    </row>
    <row r="50" spans="1:8" ht="12.75" customHeight="1">
      <c r="A50" s="382">
        <f t="shared" si="3"/>
        <v>29</v>
      </c>
      <c r="B50" s="657" t="s">
        <v>540</v>
      </c>
      <c r="C50" s="712">
        <v>0</v>
      </c>
      <c r="D50" s="657"/>
      <c r="E50" s="863">
        <f t="shared" si="2"/>
        <v>0</v>
      </c>
      <c r="F50" s="924"/>
      <c r="G50" s="924"/>
      <c r="H50" s="924"/>
    </row>
    <row r="51" spans="1:8" ht="12.75" customHeight="1">
      <c r="A51" s="382">
        <f t="shared" si="3"/>
        <v>30</v>
      </c>
      <c r="B51" s="657" t="s">
        <v>540</v>
      </c>
      <c r="C51" s="712">
        <v>0</v>
      </c>
      <c r="D51" s="657"/>
      <c r="E51" s="863">
        <f t="shared" si="2"/>
        <v>0</v>
      </c>
      <c r="F51" s="924"/>
      <c r="G51" s="925"/>
      <c r="H51" s="924"/>
    </row>
    <row r="52" spans="1:8" ht="12.75" customHeight="1">
      <c r="A52" s="382">
        <f t="shared" si="3"/>
        <v>31</v>
      </c>
      <c r="B52" s="657" t="s">
        <v>540</v>
      </c>
      <c r="C52" s="712">
        <v>0</v>
      </c>
      <c r="D52" s="657"/>
      <c r="E52" s="863">
        <f t="shared" si="2"/>
        <v>0</v>
      </c>
      <c r="F52" s="924"/>
      <c r="G52" s="925"/>
      <c r="H52" s="924"/>
    </row>
    <row r="53" spans="1:8" ht="12.75" customHeight="1">
      <c r="A53" s="382">
        <f t="shared" si="3"/>
        <v>32</v>
      </c>
      <c r="B53" s="657" t="s">
        <v>540</v>
      </c>
      <c r="C53" s="712">
        <v>0</v>
      </c>
      <c r="D53" s="870"/>
      <c r="E53" s="863">
        <f t="shared" si="2"/>
        <v>0</v>
      </c>
      <c r="F53" s="924"/>
      <c r="G53" s="924"/>
      <c r="H53" s="926"/>
    </row>
    <row r="54" spans="1:8" ht="12.75" customHeight="1">
      <c r="A54" s="382">
        <f t="shared" si="3"/>
        <v>33</v>
      </c>
      <c r="B54" s="657" t="s">
        <v>540</v>
      </c>
      <c r="C54" s="712">
        <v>0</v>
      </c>
      <c r="D54" s="658">
        <v>0</v>
      </c>
      <c r="E54" s="863">
        <f t="shared" si="2"/>
        <v>0</v>
      </c>
      <c r="F54" s="924"/>
      <c r="G54" s="924"/>
      <c r="H54" s="924"/>
    </row>
    <row r="55" spans="1:5" ht="12.75" customHeight="1">
      <c r="A55" s="382"/>
      <c r="B55" s="801"/>
      <c r="C55" s="897"/>
      <c r="D55" s="897"/>
      <c r="E55" s="871"/>
    </row>
    <row r="56" spans="1:5" ht="12.75" customHeight="1">
      <c r="A56" s="382">
        <f>+A54+1</f>
        <v>34</v>
      </c>
      <c r="B56" s="792" t="s">
        <v>557</v>
      </c>
      <c r="C56" s="898">
        <f>SUM(C45:C54)</f>
        <v>0</v>
      </c>
      <c r="D56" s="898">
        <f>SUM(D45:D54)</f>
        <v>0</v>
      </c>
      <c r="E56" s="571"/>
    </row>
    <row r="57" spans="1:5" ht="3.75" customHeight="1">
      <c r="A57" s="382"/>
      <c r="B57" s="792"/>
      <c r="C57" s="898"/>
      <c r="D57" s="898"/>
      <c r="E57" s="898"/>
    </row>
    <row r="58" spans="1:5" ht="14.25" customHeight="1">
      <c r="A58" s="382">
        <f>+A56+1</f>
        <v>35</v>
      </c>
      <c r="B58" s="792" t="str">
        <f>"Hedge Gain or Loss Prior to Application of Recovery Limit (Sum of Lines "&amp;A45&amp;" to "&amp;A54&amp;")"</f>
        <v>Hedge Gain or Loss Prior to Application of Recovery Limit (Sum of Lines 24 to 33)</v>
      </c>
      <c r="C58" s="898"/>
      <c r="D58" s="898"/>
      <c r="E58" s="898">
        <f>SUM(E45:E54)</f>
        <v>0</v>
      </c>
    </row>
    <row r="59" spans="1:5" ht="12.75" customHeight="1">
      <c r="A59" s="382">
        <f>+A58+1</f>
        <v>36</v>
      </c>
      <c r="B59" s="792" t="str">
        <f>"Total Average Capital Structure Balance for "&amp;'KGPCo Historic TCOS'!O1&amp;" (True-UP TCOS, Ln "&amp;'KGPCo True-UP TCOS'!B258&amp;")"</f>
        <v>Total Average Capital Structure Balance for 2011 (True-UP TCOS, Ln 165)</v>
      </c>
      <c r="C59" s="899"/>
      <c r="D59" s="793"/>
      <c r="E59" s="1006">
        <f>+'KGPCo True-UP TCOS'!E258</f>
        <v>48509387.455</v>
      </c>
    </row>
    <row r="60" spans="1:7" ht="12.75" customHeight="1">
      <c r="A60" s="382">
        <f>+A59+1</f>
        <v>37</v>
      </c>
      <c r="B60" s="792" t="s">
        <v>429</v>
      </c>
      <c r="C60" s="899"/>
      <c r="D60" s="793"/>
      <c r="E60" s="900">
        <v>0.0005</v>
      </c>
      <c r="G60" s="647"/>
    </row>
    <row r="61" spans="1:5" ht="12.75" customHeight="1" thickBot="1">
      <c r="A61" s="382">
        <f>+A60+1</f>
        <v>38</v>
      </c>
      <c r="B61" s="792" t="s">
        <v>430</v>
      </c>
      <c r="C61" s="899"/>
      <c r="D61" s="793"/>
      <c r="E61" s="901">
        <f>+E59*E60</f>
        <v>24254.6937275</v>
      </c>
    </row>
    <row r="62" spans="1:5" ht="12.75" customHeight="1" thickBot="1">
      <c r="A62" s="382">
        <f>+A61+1</f>
        <v>39</v>
      </c>
      <c r="B62" s="902" t="str">
        <f>"Recoverable Hedge Amortization (Lesser of Ln "&amp;A58&amp;" or Ln "&amp;A61&amp;")"</f>
        <v>Recoverable Hedge Amortization (Lesser of Ln 35 or Ln 38)</v>
      </c>
      <c r="C62" s="903"/>
      <c r="D62" s="904"/>
      <c r="E62" s="905">
        <f>+IF(E61&lt;E58,E61,E58)</f>
        <v>0</v>
      </c>
    </row>
    <row r="63" spans="1:5" ht="12.75" customHeight="1">
      <c r="A63" s="382"/>
      <c r="B63" s="906"/>
      <c r="C63" s="903"/>
      <c r="D63" s="904"/>
      <c r="E63" s="903"/>
    </row>
    <row r="64" spans="1:5" ht="12.75" customHeight="1">
      <c r="A64" s="726" t="s">
        <v>558</v>
      </c>
      <c r="C64" s="719"/>
      <c r="D64" s="653"/>
      <c r="E64" s="719"/>
    </row>
    <row r="65" spans="1:5" ht="12.75" customHeight="1">
      <c r="A65" s="382"/>
      <c r="B65" s="716"/>
      <c r="C65" s="719"/>
      <c r="D65" s="653"/>
      <c r="E65" s="719"/>
    </row>
    <row r="66" spans="1:5" ht="12.75" customHeight="1">
      <c r="A66" s="382"/>
      <c r="B66" s="652" t="s">
        <v>106</v>
      </c>
      <c r="C66" s="727"/>
      <c r="D66" s="517"/>
      <c r="E66" s="727" t="s">
        <v>457</v>
      </c>
    </row>
    <row r="67" spans="1:5" ht="12.75" customHeight="1">
      <c r="A67" s="382">
        <f>+A62+1</f>
        <v>40</v>
      </c>
      <c r="B67" s="653" t="str">
        <f>""&amp;C$67*100&amp;"% Series - "&amp;C$68&amp;" - Dividend Rate (p. 250-251. 7 &amp; 10.a)"</f>
        <v>0% Series - 0 - Dividend Rate (p. 250-251. 7 &amp; 10.a)</v>
      </c>
      <c r="C67" s="728">
        <v>0</v>
      </c>
      <c r="D67" s="728">
        <v>0</v>
      </c>
      <c r="E67" s="727"/>
    </row>
    <row r="68" spans="1:5" ht="12.75" customHeight="1">
      <c r="A68" s="382">
        <f>+A67+1</f>
        <v>41</v>
      </c>
      <c r="B68" s="653" t="str">
        <f>""&amp;C$67*100&amp;"% Series - "&amp;C$68&amp;" - Par Value (p. 250-251. 8.c)"</f>
        <v>0% Series - 0 - Par Value (p. 250-251. 8.c)</v>
      </c>
      <c r="C68" s="729">
        <v>0</v>
      </c>
      <c r="D68" s="729">
        <v>0</v>
      </c>
      <c r="E68" s="727"/>
    </row>
    <row r="69" spans="1:5" ht="12.75" customHeight="1">
      <c r="A69" s="382">
        <f>+A68+1</f>
        <v>42</v>
      </c>
      <c r="B69" s="653" t="str">
        <f>""&amp;C$67*100&amp;"% Series - "&amp;C$68&amp;" - Shares O/S (p.250-251. 8 &amp; 11.e) "</f>
        <v>0% Series - 0 - Shares O/S (p.250-251. 8 &amp; 11.e) </v>
      </c>
      <c r="C69" s="658">
        <v>0</v>
      </c>
      <c r="D69" s="658">
        <v>0</v>
      </c>
      <c r="E69" s="730"/>
    </row>
    <row r="70" spans="1:5" ht="12.75" customHeight="1">
      <c r="A70" s="382">
        <f>+A69+1</f>
        <v>43</v>
      </c>
      <c r="B70" s="653" t="str">
        <f>""&amp;C$67*100&amp;"% Series - "&amp;C$68&amp;" - Monetary Value (Ln "&amp;A68&amp;" * Ln "&amp;A69&amp;")"</f>
        <v>0% Series - 0 - Monetary Value (Ln 41 * Ln 42)</v>
      </c>
      <c r="C70" s="436">
        <f>+C69*C68</f>
        <v>0</v>
      </c>
      <c r="D70" s="436">
        <f>+D69*D68</f>
        <v>0</v>
      </c>
      <c r="E70" s="711">
        <f>IF(C70=D70=0,0,AVERAGE(C70:D70))</f>
        <v>0</v>
      </c>
    </row>
    <row r="71" spans="1:5" ht="12.75" customHeight="1">
      <c r="A71" s="382">
        <f>+A70+1</f>
        <v>44</v>
      </c>
      <c r="B71" s="653" t="str">
        <f>""&amp;C$67*100&amp;"% Series - "&amp;C$68&amp;" -  Dividend Amount (Ln "&amp;A67&amp;" * Ln "&amp;A70&amp;")"</f>
        <v>0% Series - 0 -  Dividend Amount (Ln 40 * Ln 43)</v>
      </c>
      <c r="C71" s="436">
        <f>+C70*C67</f>
        <v>0</v>
      </c>
      <c r="D71" s="436">
        <f>+D70*D67</f>
        <v>0</v>
      </c>
      <c r="E71" s="711">
        <f>IF(C71=D71=0,0,AVERAGE(C71:D71))</f>
        <v>0</v>
      </c>
    </row>
    <row r="72" spans="1:5" ht="12.75" customHeight="1">
      <c r="A72" s="382"/>
      <c r="B72" s="653"/>
      <c r="C72" s="436"/>
      <c r="D72" s="647"/>
      <c r="E72" s="649"/>
    </row>
    <row r="73" spans="1:5" ht="12.75" customHeight="1">
      <c r="A73" s="382">
        <f>+A71+1</f>
        <v>45</v>
      </c>
      <c r="B73" s="653" t="str">
        <f>""&amp;C$73*100&amp;"% Series - "&amp;C$74&amp;" - Dividend Rate (p. 250-251.a)"</f>
        <v>0% Series -  - Dividend Rate (p. 250-251.a)</v>
      </c>
      <c r="C73" s="728"/>
      <c r="D73" s="728"/>
      <c r="E73" s="649"/>
    </row>
    <row r="74" spans="1:5" ht="12.75" customHeight="1">
      <c r="A74" s="382">
        <f>+A73+1</f>
        <v>46</v>
      </c>
      <c r="B74" s="653" t="str">
        <f>""&amp;C$73*100&amp;"% Series - "&amp;C$74&amp;" - Par Value (p. 250-251.c)"</f>
        <v>0% Series -  - Par Value (p. 250-251.c)</v>
      </c>
      <c r="C74" s="729"/>
      <c r="D74" s="729"/>
      <c r="E74" s="649"/>
    </row>
    <row r="75" spans="1:5" ht="12.75" customHeight="1">
      <c r="A75" s="382">
        <f>+A74+1</f>
        <v>47</v>
      </c>
      <c r="B75" s="653" t="str">
        <f>""&amp;C$73*100&amp;"% Series - "&amp;C$74&amp;" - Shares O/S (p.250-251. e) "</f>
        <v>0% Series -  - Shares O/S (p.250-251. e) </v>
      </c>
      <c r="C75" s="658"/>
      <c r="D75" s="658"/>
      <c r="E75" s="649"/>
    </row>
    <row r="76" spans="1:5" ht="12.75" customHeight="1">
      <c r="A76" s="382">
        <f>+A75+1</f>
        <v>48</v>
      </c>
      <c r="B76" s="653" t="str">
        <f>""&amp;C$73*100&amp;"% Series - "&amp;C$74&amp;" - Monetary Value (Ln "&amp;A74&amp;" * Ln "&amp;A75&amp;")"</f>
        <v>0% Series -  - Monetary Value (Ln 46 * Ln 47)</v>
      </c>
      <c r="C76" s="509">
        <f>+C75*C74</f>
        <v>0</v>
      </c>
      <c r="D76" s="509">
        <f>+D75*D74</f>
        <v>0</v>
      </c>
      <c r="E76" s="711">
        <f>IF(C76=D76=0,0,AVERAGE(C76:D76))</f>
        <v>0</v>
      </c>
    </row>
    <row r="77" spans="1:5" ht="12.75" customHeight="1">
      <c r="A77" s="382">
        <f>+A76+1</f>
        <v>49</v>
      </c>
      <c r="B77" s="653" t="str">
        <f>""&amp;C$73*100&amp;"% Series - "&amp;C$74&amp;" -  Dividend Amount (Ln "&amp;A73&amp;" * Ln "&amp;A76&amp;")"</f>
        <v>0% Series -  -  Dividend Amount (Ln 45 * Ln 48)</v>
      </c>
      <c r="C77" s="509">
        <f>+C76*C73</f>
        <v>0</v>
      </c>
      <c r="D77" s="509">
        <f>+D76*D73</f>
        <v>0</v>
      </c>
      <c r="E77" s="711">
        <f>IF(C77=D77=0,0,AVERAGE(C77:D77))</f>
        <v>0</v>
      </c>
    </row>
    <row r="78" spans="1:5" ht="12.75" customHeight="1">
      <c r="A78" s="382"/>
      <c r="B78" s="653"/>
      <c r="C78" s="509"/>
      <c r="D78" s="509"/>
      <c r="E78" s="711"/>
    </row>
    <row r="79" spans="1:5" ht="12.75" customHeight="1">
      <c r="A79" s="382">
        <f>+A77+1</f>
        <v>50</v>
      </c>
      <c r="B79" s="653" t="str">
        <f>""&amp;C$79*100&amp;"% Series - "&amp;C$80&amp;" - Dividend Rate (p. 250-251.a)"</f>
        <v>0% Series -  - Dividend Rate (p. 250-251.a)</v>
      </c>
      <c r="C79" s="728"/>
      <c r="D79" s="663"/>
      <c r="E79" s="711"/>
    </row>
    <row r="80" spans="1:5" ht="12.75" customHeight="1">
      <c r="A80" s="382">
        <f>+A79+1</f>
        <v>51</v>
      </c>
      <c r="B80" s="653" t="str">
        <f>""&amp;C$79*100&amp;"% Series - "&amp;C$80&amp;" - Par Value (p. 250-251.c)"</f>
        <v>0% Series -  - Par Value (p. 250-251.c)</v>
      </c>
      <c r="C80" s="729"/>
      <c r="D80" s="731"/>
      <c r="E80" s="711"/>
    </row>
    <row r="81" spans="1:5" ht="12.75" customHeight="1">
      <c r="A81" s="382">
        <f>+A80+1</f>
        <v>52</v>
      </c>
      <c r="B81" s="653" t="str">
        <f>""&amp;C$79*100&amp;"% Series - "&amp;C$80&amp;" - Shares O/S (p.250-251.e) "</f>
        <v>0% Series -  - Shares O/S (p.250-251.e) </v>
      </c>
      <c r="C81" s="658"/>
      <c r="D81" s="658"/>
      <c r="E81" s="649"/>
    </row>
    <row r="82" spans="1:5" ht="12.75" customHeight="1">
      <c r="A82" s="382">
        <f>+A81+1</f>
        <v>53</v>
      </c>
      <c r="B82" s="653" t="str">
        <f>""&amp;C$79*100&amp;"% Series - "&amp;C$80&amp;" - Monetary Value (Ln "&amp;A80&amp;" * Ln "&amp;A81&amp;")"</f>
        <v>0% Series -  - Monetary Value (Ln 51 * Ln 52)</v>
      </c>
      <c r="C82" s="509">
        <f>+C81*C80</f>
        <v>0</v>
      </c>
      <c r="D82" s="509">
        <f>+D81*D80</f>
        <v>0</v>
      </c>
      <c r="E82" s="711">
        <f>IF(C82=D82=0,0,AVERAGE(C82:D82))</f>
        <v>0</v>
      </c>
    </row>
    <row r="83" spans="1:5" ht="12.75" customHeight="1">
      <c r="A83" s="382">
        <f>+A82+1</f>
        <v>54</v>
      </c>
      <c r="B83" s="653" t="str">
        <f>""&amp;C$79*100&amp;"% Series - "&amp;C$80&amp;" -  Dividend Amount (Ln "&amp;A79&amp;" * Ln "&amp;A82&amp;")"</f>
        <v>0% Series -  -  Dividend Amount (Ln 50 * Ln 53)</v>
      </c>
      <c r="C83" s="509">
        <f>+C82*C79</f>
        <v>0</v>
      </c>
      <c r="D83" s="509">
        <f>+D82*D79</f>
        <v>0</v>
      </c>
      <c r="E83" s="711">
        <f>IF(C83=D83=0,0,AVERAGE(C83:D83))</f>
        <v>0</v>
      </c>
    </row>
    <row r="84" spans="1:4" ht="12.75" customHeight="1">
      <c r="A84" s="382"/>
      <c r="B84" s="653"/>
      <c r="C84" s="509"/>
      <c r="D84" s="509"/>
    </row>
    <row r="85" spans="1:6" ht="12.75" customHeight="1">
      <c r="A85" s="382">
        <f>+A83+1</f>
        <v>55</v>
      </c>
      <c r="B85" s="709" t="str">
        <f>"Balance of Preferred Stock (Lns "&amp;A70&amp;", "&amp;A76&amp;", "&amp;A82&amp;")"</f>
        <v>Balance of Preferred Stock (Lns 43, 48, 53)</v>
      </c>
      <c r="C85" s="509">
        <f>+C70+C76+C82</f>
        <v>0</v>
      </c>
      <c r="D85" s="509">
        <f>+D70+D76+D82</f>
        <v>0</v>
      </c>
      <c r="E85" s="732">
        <f>+E70+E76+E82</f>
        <v>0</v>
      </c>
      <c r="F85" s="154" t="s">
        <v>419</v>
      </c>
    </row>
    <row r="86" spans="1:5" ht="12.75" customHeight="1" thickBot="1">
      <c r="A86" s="382">
        <f>+A85+1</f>
        <v>56</v>
      </c>
      <c r="B86" s="709" t="str">
        <f>"Dividends on Preferred Stock (Lns "&amp;A71&amp;", "&amp;A77&amp;", "&amp;A83&amp;")"</f>
        <v>Dividends on Preferred Stock (Lns 44, 49, 54)</v>
      </c>
      <c r="C86" s="733">
        <f>+C77+C71+C83</f>
        <v>0</v>
      </c>
      <c r="D86" s="733">
        <f>+D77+D71+D83</f>
        <v>0</v>
      </c>
      <c r="E86" s="734">
        <f>+E83+E77+E71</f>
        <v>0</v>
      </c>
    </row>
    <row r="87" spans="1:5" ht="12.75" customHeight="1" thickBot="1">
      <c r="A87" s="382">
        <f>+A86+1</f>
        <v>57</v>
      </c>
      <c r="B87" s="170" t="str">
        <f>"Average Cost of Preferred Stock (Ln "&amp;A86&amp;"/"&amp;A85&amp;")"</f>
        <v>Average Cost of Preferred Stock (Ln 56/55)</v>
      </c>
      <c r="C87" s="735">
        <f>IF(C85=0,0,C86/C85)</f>
        <v>0</v>
      </c>
      <c r="D87" s="735">
        <f>IF(D85=0,0,D86/D85)</f>
        <v>0</v>
      </c>
      <c r="E87" s="723">
        <f>IF(E86=0,"",+E86/E85)</f>
      </c>
    </row>
    <row r="88" spans="1:5" ht="12.75" customHeight="1">
      <c r="A88" s="382"/>
      <c r="B88" s="170"/>
      <c r="C88" s="735"/>
      <c r="D88" s="735"/>
      <c r="E88" s="720"/>
    </row>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
      <selection activeCell="A1" sqref="A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140625" style="0" customWidth="1"/>
  </cols>
  <sheetData>
    <row r="1" spans="1:15" ht="18">
      <c r="A1" s="1172" t="s">
        <v>282</v>
      </c>
      <c r="B1" s="1172"/>
      <c r="C1" s="1172"/>
      <c r="D1" s="1172"/>
      <c r="E1" s="1172"/>
      <c r="F1" s="1172"/>
      <c r="G1" s="1172"/>
      <c r="H1" s="1172"/>
      <c r="I1" s="1172"/>
      <c r="J1" s="1172"/>
      <c r="K1" s="1172"/>
      <c r="L1" s="1172"/>
      <c r="M1" s="1172"/>
      <c r="N1" s="1172"/>
      <c r="O1" s="1172"/>
    </row>
    <row r="2" spans="1:15" ht="18">
      <c r="A2" s="1118" t="str">
        <f>"Cost of Service Formula Rate Using "&amp;'KGPCo Historic TCOS'!O1&amp;" FF1 Balances"</f>
        <v>Cost of Service Formula Rate Using 2011 FF1 Balances</v>
      </c>
      <c r="B2" s="1118"/>
      <c r="C2" s="1118"/>
      <c r="D2" s="1118"/>
      <c r="E2" s="1118"/>
      <c r="F2" s="1118"/>
      <c r="G2" s="1118"/>
      <c r="H2" s="1118"/>
      <c r="I2" s="1118"/>
      <c r="J2" s="1118"/>
      <c r="K2" s="1118"/>
      <c r="L2" s="1118"/>
      <c r="M2" s="1118"/>
      <c r="N2" s="1118"/>
      <c r="O2" s="1118"/>
    </row>
    <row r="3" spans="1:15" ht="18">
      <c r="A3" s="1118" t="s">
        <v>86</v>
      </c>
      <c r="B3" s="1118"/>
      <c r="C3" s="1118"/>
      <c r="D3" s="1118"/>
      <c r="E3" s="1118"/>
      <c r="F3" s="1118"/>
      <c r="G3" s="1118"/>
      <c r="H3" s="1118"/>
      <c r="I3" s="1118"/>
      <c r="J3" s="1118"/>
      <c r="K3" s="1118"/>
      <c r="L3" s="1118"/>
      <c r="M3" s="1118"/>
      <c r="N3" s="1118"/>
      <c r="O3" s="1118"/>
    </row>
    <row r="4" spans="1:15" ht="18">
      <c r="A4" s="1129" t="str">
        <f>+'KGPCo Historic TCOS'!F7</f>
        <v>KINGSPORT POWER COMPANY</v>
      </c>
      <c r="B4" s="1129"/>
      <c r="C4" s="1129"/>
      <c r="D4" s="1129"/>
      <c r="E4" s="1129"/>
      <c r="F4" s="1129"/>
      <c r="G4" s="1129"/>
      <c r="H4" s="1129"/>
      <c r="I4" s="1129"/>
      <c r="J4" s="1129"/>
      <c r="K4" s="1129"/>
      <c r="L4" s="1129"/>
      <c r="M4" s="1129"/>
      <c r="N4" s="1129"/>
      <c r="O4" s="1129"/>
    </row>
    <row r="5" spans="1:12" ht="12.75" customHeight="1">
      <c r="A5" s="546"/>
      <c r="B5" s="546"/>
      <c r="C5" s="546"/>
      <c r="D5" s="546"/>
      <c r="E5" s="546"/>
      <c r="F5" s="546"/>
      <c r="G5" s="546"/>
      <c r="H5" s="546"/>
      <c r="I5" s="546"/>
      <c r="J5" s="546"/>
      <c r="K5" s="546"/>
      <c r="L5" s="546"/>
    </row>
    <row r="6" spans="1:15" ht="12.75" customHeight="1">
      <c r="A6" s="1196" t="s">
        <v>78</v>
      </c>
      <c r="B6" s="1196"/>
      <c r="C6" s="1196"/>
      <c r="D6" s="1196"/>
      <c r="E6" s="1196"/>
      <c r="F6" s="1196"/>
      <c r="G6" s="1196"/>
      <c r="H6" s="1196"/>
      <c r="I6" s="1196"/>
      <c r="J6" s="1196"/>
      <c r="K6" s="1196"/>
      <c r="L6" s="1196"/>
      <c r="M6" s="1196"/>
      <c r="N6" s="1196"/>
      <c r="O6" s="1196"/>
    </row>
    <row r="7" spans="1:15" ht="12.75" customHeight="1">
      <c r="A7" s="1196"/>
      <c r="B7" s="1196"/>
      <c r="C7" s="1196"/>
      <c r="D7" s="1196"/>
      <c r="E7" s="1196"/>
      <c r="F7" s="1196"/>
      <c r="G7" s="1196"/>
      <c r="H7" s="1196"/>
      <c r="I7" s="1196"/>
      <c r="J7" s="1196"/>
      <c r="K7" s="1196"/>
      <c r="L7" s="1196"/>
      <c r="M7" s="1196"/>
      <c r="N7" s="1196"/>
      <c r="O7" s="1196"/>
    </row>
    <row r="8" spans="1:15" ht="12.75">
      <c r="A8" s="1196"/>
      <c r="B8" s="1196"/>
      <c r="C8" s="1196"/>
      <c r="D8" s="1196"/>
      <c r="E8" s="1196"/>
      <c r="F8" s="1196"/>
      <c r="G8" s="1196"/>
      <c r="H8" s="1196"/>
      <c r="I8" s="1196"/>
      <c r="J8" s="1196"/>
      <c r="K8" s="1196"/>
      <c r="L8" s="1196"/>
      <c r="M8" s="1196"/>
      <c r="N8" s="1196"/>
      <c r="O8" s="1196"/>
    </row>
    <row r="9" spans="1:15" ht="12.75">
      <c r="A9" s="1196"/>
      <c r="B9" s="1196"/>
      <c r="C9" s="1196"/>
      <c r="D9" s="1196"/>
      <c r="E9" s="1196"/>
      <c r="F9" s="1196"/>
      <c r="G9" s="1196"/>
      <c r="H9" s="1196"/>
      <c r="I9" s="1196"/>
      <c r="J9" s="1196"/>
      <c r="K9" s="1196"/>
      <c r="L9" s="1196"/>
      <c r="M9" s="1196"/>
      <c r="N9" s="1196"/>
      <c r="O9" s="1196"/>
    </row>
    <row r="10" spans="2:21" ht="12.75">
      <c r="B10" s="6" t="s">
        <v>757</v>
      </c>
      <c r="C10" s="6"/>
      <c r="D10" s="1152" t="s">
        <v>758</v>
      </c>
      <c r="E10" s="1152"/>
      <c r="F10" s="1152"/>
      <c r="G10" s="1152"/>
      <c r="H10" s="6"/>
      <c r="I10" s="6" t="s">
        <v>545</v>
      </c>
      <c r="J10" s="6"/>
      <c r="K10" s="6" t="s">
        <v>760</v>
      </c>
      <c r="L10" s="6"/>
      <c r="M10" s="6" t="s">
        <v>676</v>
      </c>
      <c r="N10" s="6"/>
      <c r="O10" s="6" t="s">
        <v>677</v>
      </c>
      <c r="P10" s="6"/>
      <c r="Q10" s="6" t="s">
        <v>638</v>
      </c>
      <c r="R10" s="6"/>
      <c r="S10" s="6" t="s">
        <v>683</v>
      </c>
      <c r="T10" s="6"/>
      <c r="U10" s="378" t="s">
        <v>451</v>
      </c>
    </row>
    <row r="11" spans="9:21" ht="12.75">
      <c r="I11" s="1194" t="s">
        <v>636</v>
      </c>
      <c r="Q11" s="1193" t="s">
        <v>637</v>
      </c>
      <c r="S11" s="1194" t="s">
        <v>639</v>
      </c>
      <c r="U11" s="1085" t="s">
        <v>845</v>
      </c>
    </row>
    <row r="12" spans="1:21" ht="12.75">
      <c r="A12" s="557" t="s">
        <v>635</v>
      </c>
      <c r="B12" s="557" t="s">
        <v>631</v>
      </c>
      <c r="C12" s="557"/>
      <c r="D12" s="669" t="s">
        <v>632</v>
      </c>
      <c r="E12" s="557"/>
      <c r="F12" s="557"/>
      <c r="G12" s="557"/>
      <c r="H12" s="557"/>
      <c r="I12" s="1165"/>
      <c r="J12" s="557"/>
      <c r="K12" s="557" t="s">
        <v>633</v>
      </c>
      <c r="L12" s="557"/>
      <c r="M12" s="557" t="s">
        <v>634</v>
      </c>
      <c r="N12" s="557"/>
      <c r="O12" s="557" t="s">
        <v>434</v>
      </c>
      <c r="Q12" s="1193"/>
      <c r="S12" s="1194"/>
      <c r="U12" s="1085" t="s">
        <v>161</v>
      </c>
    </row>
    <row r="13" spans="1:19" ht="12.75">
      <c r="A13" s="557"/>
      <c r="B13" s="557"/>
      <c r="C13" s="557"/>
      <c r="D13" s="669"/>
      <c r="E13" s="557"/>
      <c r="F13" s="557"/>
      <c r="G13" s="557"/>
      <c r="H13" s="557"/>
      <c r="I13" s="10" t="s">
        <v>432</v>
      </c>
      <c r="J13" s="557"/>
      <c r="K13" s="557"/>
      <c r="L13" s="557"/>
      <c r="M13" s="557"/>
      <c r="N13" s="557"/>
      <c r="O13" s="557"/>
      <c r="Q13" s="775"/>
      <c r="S13" s="557" t="s">
        <v>434</v>
      </c>
    </row>
    <row r="14" ht="12.75">
      <c r="I14" t="s">
        <v>433</v>
      </c>
    </row>
    <row r="15" spans="1:21" ht="12.75">
      <c r="A15" s="6">
        <v>1</v>
      </c>
      <c r="B15" s="771"/>
      <c r="D15" s="1195"/>
      <c r="E15" s="1195"/>
      <c r="F15" s="1195"/>
      <c r="G15" s="1195"/>
      <c r="I15" s="773"/>
      <c r="K15" s="658"/>
      <c r="L15" s="503"/>
      <c r="M15" s="658"/>
      <c r="O15" s="566">
        <f>+K15-M15</f>
        <v>0</v>
      </c>
      <c r="Q15" s="696">
        <f>IF(I15="G",'KGPCo True-UP TCOS'!L$241,IF(I15="T",1,0))</f>
        <v>0</v>
      </c>
      <c r="S15" s="566">
        <f>ROUND(O15*Q15,0)</f>
        <v>0</v>
      </c>
      <c r="U15" s="616"/>
    </row>
    <row r="16" spans="1:19" ht="12.75">
      <c r="A16" s="6"/>
      <c r="D16" s="1195"/>
      <c r="E16" s="1195"/>
      <c r="F16" s="1195"/>
      <c r="G16" s="1195"/>
      <c r="K16" s="503"/>
      <c r="L16" s="503"/>
      <c r="M16" s="503"/>
      <c r="O16" s="503"/>
      <c r="Q16" s="696"/>
      <c r="S16" s="503"/>
    </row>
    <row r="17" spans="1:19" ht="12.75">
      <c r="A17" s="6"/>
      <c r="D17" s="1195"/>
      <c r="E17" s="1195"/>
      <c r="F17" s="1195"/>
      <c r="G17" s="1195"/>
      <c r="K17" s="503"/>
      <c r="L17" s="503"/>
      <c r="M17" s="503"/>
      <c r="O17" s="503"/>
      <c r="Q17" s="696"/>
      <c r="S17" s="503"/>
    </row>
    <row r="18" spans="1:19" ht="12.75">
      <c r="A18" s="6"/>
      <c r="K18" s="503"/>
      <c r="L18" s="503"/>
      <c r="M18" s="503"/>
      <c r="O18" s="503"/>
      <c r="Q18" s="696"/>
      <c r="S18" s="503"/>
    </row>
    <row r="19" spans="1:19" ht="12.75">
      <c r="A19" s="6"/>
      <c r="K19" s="503"/>
      <c r="L19" s="503"/>
      <c r="M19" s="503"/>
      <c r="O19" s="503"/>
      <c r="Q19" s="696"/>
      <c r="S19" s="503"/>
    </row>
    <row r="20" spans="1:21" ht="12" customHeight="1">
      <c r="A20" s="6">
        <f>+A15+1</f>
        <v>2</v>
      </c>
      <c r="B20" s="771"/>
      <c r="D20" s="1195"/>
      <c r="E20" s="1195"/>
      <c r="F20" s="1195"/>
      <c r="G20" s="1195"/>
      <c r="I20" s="773"/>
      <c r="K20" s="658"/>
      <c r="L20" s="503"/>
      <c r="M20" s="658"/>
      <c r="O20" s="566">
        <f>+K20-M20</f>
        <v>0</v>
      </c>
      <c r="Q20" s="696">
        <f>IF(I20="G",'KGPCo True-UP TCOS'!L$241,IF(I20="T",1,0))</f>
        <v>0</v>
      </c>
      <c r="S20" s="566">
        <f>ROUND(O20*Q20,0)</f>
        <v>0</v>
      </c>
      <c r="U20" s="616"/>
    </row>
    <row r="21" spans="1:19" ht="12.75">
      <c r="A21" s="6"/>
      <c r="D21" s="1195"/>
      <c r="E21" s="1195"/>
      <c r="F21" s="1195"/>
      <c r="G21" s="1195"/>
      <c r="I21" s="6"/>
      <c r="K21" s="503"/>
      <c r="L21" s="503"/>
      <c r="M21" s="503"/>
      <c r="O21" s="503"/>
      <c r="Q21" s="696"/>
      <c r="S21" s="503"/>
    </row>
    <row r="22" spans="1:19" ht="12.75">
      <c r="A22" s="6"/>
      <c r="D22" s="1195"/>
      <c r="E22" s="1195"/>
      <c r="F22" s="1195"/>
      <c r="G22" s="1195"/>
      <c r="I22" s="6"/>
      <c r="K22" s="503"/>
      <c r="L22" s="503"/>
      <c r="M22" s="503"/>
      <c r="O22" s="503"/>
      <c r="Q22" s="696"/>
      <c r="S22" s="503"/>
    </row>
    <row r="23" spans="1:19" ht="12.75">
      <c r="A23" s="6"/>
      <c r="I23" s="6"/>
      <c r="K23" s="503"/>
      <c r="L23" s="503"/>
      <c r="M23" s="503"/>
      <c r="O23" s="503"/>
      <c r="Q23" s="696"/>
      <c r="S23" s="503"/>
    </row>
    <row r="24" spans="1:19" ht="12.75">
      <c r="A24" s="6"/>
      <c r="I24" s="6"/>
      <c r="K24" s="503"/>
      <c r="L24" s="503"/>
      <c r="M24" s="503"/>
      <c r="O24" s="503"/>
      <c r="Q24" s="696"/>
      <c r="S24" s="503"/>
    </row>
    <row r="25" spans="1:21" ht="12.75">
      <c r="A25" s="6">
        <f>+A20+1</f>
        <v>3</v>
      </c>
      <c r="B25" s="771"/>
      <c r="D25" s="1195"/>
      <c r="E25" s="1195"/>
      <c r="F25" s="1195"/>
      <c r="G25" s="1195"/>
      <c r="I25" s="773"/>
      <c r="K25" s="658"/>
      <c r="L25" s="503"/>
      <c r="M25" s="658"/>
      <c r="O25" s="566">
        <f>+K25-M25</f>
        <v>0</v>
      </c>
      <c r="Q25" s="696">
        <f>IF(I25="G",'KGPCo True-UP TCOS'!L$241,IF(I25="T",1,0))</f>
        <v>0</v>
      </c>
      <c r="S25" s="566">
        <f>ROUND(O25*Q25,0)</f>
        <v>0</v>
      </c>
      <c r="U25" s="616"/>
    </row>
    <row r="26" spans="1:19" ht="12.75">
      <c r="A26" s="6"/>
      <c r="D26" s="1195"/>
      <c r="E26" s="1195"/>
      <c r="F26" s="1195"/>
      <c r="G26" s="1195"/>
      <c r="I26" s="6"/>
      <c r="O26" s="503"/>
      <c r="Q26" s="696"/>
      <c r="S26" s="503"/>
    </row>
    <row r="27" spans="1:17" ht="12.75">
      <c r="A27" s="6"/>
      <c r="D27" s="1195"/>
      <c r="E27" s="1195"/>
      <c r="F27" s="1195"/>
      <c r="G27" s="1195"/>
      <c r="O27" s="503"/>
      <c r="Q27" s="696"/>
    </row>
    <row r="28" spans="1:17" ht="12.75">
      <c r="A28" s="6"/>
      <c r="O28" s="503"/>
      <c r="Q28" s="696"/>
    </row>
    <row r="29" spans="1:17" ht="12.75">
      <c r="A29" s="6"/>
      <c r="O29" s="503"/>
      <c r="Q29" s="696"/>
    </row>
    <row r="30" spans="1:17" ht="12.75">
      <c r="A30" s="6"/>
      <c r="O30" s="503"/>
      <c r="Q30" s="696"/>
    </row>
    <row r="31" spans="1:19" ht="13.5" thickBot="1">
      <c r="A31" s="6">
        <f>+A25+1</f>
        <v>4</v>
      </c>
      <c r="K31" t="str">
        <f>"Net (Gain) or Loss for "&amp;'KGPCo Historic TCOS'!O1&amp;""</f>
        <v>Net (Gain) or Loss for 2011</v>
      </c>
      <c r="O31" s="772">
        <f>SUM(O15:O25)</f>
        <v>0</v>
      </c>
      <c r="Q31" s="774"/>
      <c r="S31" s="772">
        <f>SUM(S15:S25)</f>
        <v>0</v>
      </c>
    </row>
    <row r="32" spans="1:17" ht="13.5" thickTop="1">
      <c r="A32" s="6"/>
      <c r="O32" s="503"/>
      <c r="Q32" s="774"/>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indexed="10"/>
  </sheetPr>
  <dimension ref="A1:V288"/>
  <sheetViews>
    <sheetView view="pageBreakPreview" zoomScaleNormal="75" zoomScaleSheetLayoutView="100" zoomScalePageLayoutView="0" workbookViewId="0" topLeftCell="A1">
      <selection activeCell="A1" sqref="A1"/>
    </sheetView>
  </sheetViews>
  <sheetFormatPr defaultColWidth="9.140625" defaultRowHeight="12.75"/>
  <cols>
    <col min="1" max="1" width="8.140625" style="0" customWidth="1"/>
    <col min="2" max="2" width="28.8515625" style="0" customWidth="1"/>
    <col min="3" max="3" width="21.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141" t="s">
        <v>282</v>
      </c>
      <c r="B1" s="1198"/>
      <c r="C1" s="1198"/>
      <c r="D1" s="1198"/>
      <c r="E1" s="1198"/>
      <c r="F1" s="1198"/>
      <c r="G1" s="1198"/>
      <c r="H1" s="1198"/>
      <c r="I1" s="1198"/>
      <c r="J1" s="1198"/>
      <c r="K1" s="1198"/>
      <c r="L1" s="175"/>
      <c r="M1" s="175"/>
      <c r="N1" s="945"/>
      <c r="O1" s="945"/>
      <c r="P1" s="945"/>
      <c r="Q1" s="945"/>
    </row>
    <row r="2" spans="1:17" ht="18">
      <c r="A2" s="1118" t="str">
        <f>"Cost of Service Formula Rate Using "&amp;'KGPCo Historic TCOS'!O1&amp;" FF1 Balances"</f>
        <v>Cost of Service Formula Rate Using 2011 FF1 Balances</v>
      </c>
      <c r="B2" s="1198"/>
      <c r="C2" s="1198"/>
      <c r="D2" s="1198"/>
      <c r="E2" s="1198"/>
      <c r="F2" s="1198"/>
      <c r="G2" s="1198"/>
      <c r="H2" s="1198"/>
      <c r="I2" s="1198"/>
      <c r="J2" s="1198"/>
      <c r="K2" s="1198"/>
      <c r="L2" s="528"/>
      <c r="M2" s="528"/>
      <c r="N2" s="528"/>
      <c r="O2" s="528"/>
      <c r="P2" s="528"/>
      <c r="Q2" s="946"/>
    </row>
    <row r="3" spans="1:17" ht="15">
      <c r="A3" s="1140" t="s">
        <v>516</v>
      </c>
      <c r="B3" s="1198"/>
      <c r="C3" s="1198"/>
      <c r="D3" s="1198"/>
      <c r="E3" s="1198"/>
      <c r="F3" s="1198"/>
      <c r="G3" s="1198"/>
      <c r="H3" s="1198"/>
      <c r="I3" s="1198"/>
      <c r="J3" s="1198"/>
      <c r="K3" s="1198"/>
      <c r="L3" s="291"/>
      <c r="M3" s="291"/>
      <c r="N3" s="947"/>
      <c r="O3" s="947"/>
      <c r="P3" s="947"/>
      <c r="Q3" s="947"/>
    </row>
    <row r="4" spans="1:17" ht="15">
      <c r="A4" s="1120" t="s">
        <v>36</v>
      </c>
      <c r="B4" s="1198"/>
      <c r="C4" s="1198"/>
      <c r="D4" s="1198"/>
      <c r="E4" s="1198"/>
      <c r="F4" s="1198"/>
      <c r="G4" s="1198"/>
      <c r="H4" s="1198"/>
      <c r="I4" s="1198"/>
      <c r="J4" s="1198"/>
      <c r="K4" s="1198"/>
      <c r="L4" s="12"/>
      <c r="M4" s="12"/>
      <c r="N4" s="948"/>
      <c r="O4" s="948"/>
      <c r="P4" s="948"/>
      <c r="Q4" s="948"/>
    </row>
    <row r="7" spans="2:17" ht="12.75">
      <c r="B7" s="1199"/>
      <c r="C7" s="1199"/>
      <c r="D7" s="1199"/>
      <c r="E7" s="1199"/>
      <c r="F7" s="1199"/>
      <c r="G7" s="1199"/>
      <c r="H7" s="1199"/>
      <c r="I7" s="1199"/>
      <c r="J7" s="1199"/>
      <c r="K7" s="1199"/>
      <c r="L7" s="1199"/>
      <c r="M7" s="1199"/>
      <c r="N7" s="862"/>
      <c r="O7" s="862"/>
      <c r="P7" s="862"/>
      <c r="Q7" s="862"/>
    </row>
    <row r="8" spans="9:17" ht="12.75">
      <c r="I8" s="862"/>
      <c r="J8" s="862"/>
      <c r="K8" s="862"/>
      <c r="L8" s="862"/>
      <c r="M8" s="862"/>
      <c r="N8" s="862"/>
      <c r="O8" s="862"/>
      <c r="P8" s="862"/>
      <c r="Q8" s="862"/>
    </row>
    <row r="9" spans="9:17" ht="12.75">
      <c r="I9" s="862"/>
      <c r="J9" s="862"/>
      <c r="K9" s="862"/>
      <c r="L9" s="862"/>
      <c r="M9" s="862"/>
      <c r="N9" s="862"/>
      <c r="O9" s="862"/>
      <c r="P9" s="862"/>
      <c r="Q9" s="862"/>
    </row>
    <row r="10" spans="2:17" ht="12.75">
      <c r="B10" t="s">
        <v>902</v>
      </c>
      <c r="E10" s="658">
        <v>48100000</v>
      </c>
      <c r="I10" s="862"/>
      <c r="J10" s="862"/>
      <c r="K10" s="862"/>
      <c r="L10" s="862"/>
      <c r="M10" s="862"/>
      <c r="N10" s="862"/>
      <c r="O10" s="862"/>
      <c r="P10" s="862"/>
      <c r="Q10" s="862"/>
    </row>
    <row r="11" spans="9:17" ht="12.75">
      <c r="I11" s="862"/>
      <c r="J11" s="862"/>
      <c r="K11" s="862"/>
      <c r="L11" s="862"/>
      <c r="M11" s="862"/>
      <c r="N11" s="862"/>
      <c r="O11" s="862"/>
      <c r="P11" s="862"/>
      <c r="Q11" s="862"/>
    </row>
    <row r="12" spans="2:17" ht="12.75" customHeight="1">
      <c r="B12" s="1197" t="str">
        <f>"Allocation of PBOP Settlement Amount for "&amp;'KGPCo Historic TCOS'!O1&amp;""</f>
        <v>Allocation of PBOP Settlement Amount for 2011</v>
      </c>
      <c r="C12" s="1197"/>
      <c r="D12" s="1048"/>
      <c r="E12" s="549"/>
      <c r="F12" s="549"/>
      <c r="G12" s="549"/>
      <c r="H12" s="549"/>
      <c r="I12" s="549"/>
      <c r="J12" s="549"/>
      <c r="K12" s="549"/>
      <c r="L12" s="549"/>
      <c r="M12" s="549"/>
      <c r="N12" s="862"/>
      <c r="O12" s="862"/>
      <c r="P12" s="862"/>
      <c r="Q12" s="862"/>
    </row>
    <row r="13" spans="3:17" ht="12.75">
      <c r="C13" s="1199" t="s">
        <v>908</v>
      </c>
      <c r="D13" s="1199"/>
      <c r="E13" s="1199"/>
      <c r="F13" s="557"/>
      <c r="N13" s="862"/>
      <c r="O13" s="862"/>
      <c r="P13" s="862"/>
      <c r="Q13" s="862"/>
    </row>
    <row r="14" spans="2:17" ht="12.75">
      <c r="B14" s="10"/>
      <c r="C14" s="1194" t="s">
        <v>396</v>
      </c>
      <c r="D14" s="1194" t="s">
        <v>909</v>
      </c>
      <c r="E14" s="1194" t="s">
        <v>910</v>
      </c>
      <c r="F14" s="548"/>
      <c r="G14" s="548"/>
      <c r="H14" s="548"/>
      <c r="I14" s="1194" t="s">
        <v>911</v>
      </c>
      <c r="N14" s="862"/>
      <c r="O14" s="862"/>
      <c r="P14" s="862"/>
      <c r="Q14" s="862"/>
    </row>
    <row r="15" spans="3:17" ht="12.75" customHeight="1">
      <c r="C15" s="1165"/>
      <c r="D15" s="1165"/>
      <c r="E15" s="1165"/>
      <c r="F15" s="1194" t="str">
        <f>"Labor Allocator for "&amp;'KGPCo Historic TCOS'!O1&amp;""</f>
        <v>Labor Allocator for 2011</v>
      </c>
      <c r="G15" s="340"/>
      <c r="H15" s="1200" t="s">
        <v>896</v>
      </c>
      <c r="I15" s="1194"/>
      <c r="N15" s="862"/>
      <c r="O15" s="862"/>
      <c r="P15" s="862"/>
      <c r="Q15" s="862"/>
    </row>
    <row r="16" spans="1:17" ht="12.75">
      <c r="A16" s="950" t="s">
        <v>912</v>
      </c>
      <c r="B16" s="557" t="s">
        <v>855</v>
      </c>
      <c r="C16" s="1165"/>
      <c r="D16" s="1165"/>
      <c r="E16" s="1165"/>
      <c r="F16" s="1194"/>
      <c r="G16" s="951" t="s">
        <v>897</v>
      </c>
      <c r="H16" s="1200"/>
      <c r="I16" s="1194"/>
      <c r="N16" s="862"/>
      <c r="O16" s="862"/>
      <c r="P16" s="862"/>
      <c r="Q16" s="862"/>
    </row>
    <row r="17" spans="2:17" ht="12.75">
      <c r="B17" s="557"/>
      <c r="C17" s="139"/>
      <c r="D17" s="139"/>
      <c r="E17" s="139"/>
      <c r="F17" s="548"/>
      <c r="G17" s="340"/>
      <c r="H17" s="340"/>
      <c r="I17" s="139"/>
      <c r="N17" s="862"/>
      <c r="O17" s="862"/>
      <c r="P17" s="862"/>
      <c r="Q17" s="862"/>
    </row>
    <row r="18" spans="2:17" ht="12.75">
      <c r="B18" s="557"/>
      <c r="C18" s="548" t="s">
        <v>757</v>
      </c>
      <c r="D18" s="548" t="s">
        <v>915</v>
      </c>
      <c r="E18" s="952" t="str">
        <f>"(C )=(B) * "&amp;E10&amp;""</f>
        <v>(C )=(B) * 48100000</v>
      </c>
      <c r="F18" s="548" t="s">
        <v>760</v>
      </c>
      <c r="G18" s="953" t="s">
        <v>916</v>
      </c>
      <c r="H18" s="953" t="s">
        <v>917</v>
      </c>
      <c r="I18" s="952" t="s">
        <v>918</v>
      </c>
      <c r="N18" s="862"/>
      <c r="O18" s="862"/>
      <c r="P18" s="862"/>
      <c r="Q18" s="862"/>
    </row>
    <row r="19" spans="2:17" ht="12.75">
      <c r="B19" s="557"/>
      <c r="C19" s="548" t="str">
        <f>"(Line "&amp;A46&amp;")"</f>
        <v>(Line 14)</v>
      </c>
      <c r="D19" s="548"/>
      <c r="E19" s="952"/>
      <c r="F19" s="548"/>
      <c r="G19" s="340"/>
      <c r="H19" s="949"/>
      <c r="I19" s="952"/>
      <c r="N19" s="862"/>
      <c r="O19" s="862"/>
      <c r="P19" s="862"/>
      <c r="Q19" s="862"/>
    </row>
    <row r="20" spans="1:17" ht="12.75">
      <c r="A20">
        <v>1</v>
      </c>
      <c r="B20" t="s">
        <v>919</v>
      </c>
      <c r="C20" s="1101">
        <f>+D46</f>
        <v>7091350</v>
      </c>
      <c r="D20" s="954">
        <f aca="true" t="shared" si="0" ref="D20:D26">+C20/C$27</f>
        <v>0.25144176486719855</v>
      </c>
      <c r="E20" s="503">
        <f aca="true" t="shared" si="1" ref="E20:E26">ROUND(D20*E$27,0)</f>
        <v>12094349</v>
      </c>
      <c r="F20" s="1111">
        <v>0.06501114875199497</v>
      </c>
      <c r="G20" s="340">
        <f aca="true" t="shared" si="2" ref="G20:G26">+C20*F20</f>
        <v>461016.80970245955</v>
      </c>
      <c r="H20" s="340">
        <f aca="true" t="shared" si="3" ref="H20:H26">+F20*E20</f>
        <v>786267.5218975416</v>
      </c>
      <c r="I20" s="503">
        <f aca="true" t="shared" si="4" ref="I20:I26">+G20-H20</f>
        <v>-325250.71219508204</v>
      </c>
      <c r="N20" s="862"/>
      <c r="O20" s="862"/>
      <c r="P20" s="862"/>
      <c r="Q20" s="862"/>
    </row>
    <row r="21" spans="1:17" ht="12.75">
      <c r="A21">
        <f aca="true" t="shared" si="5" ref="A21:A27">+A20+1</f>
        <v>2</v>
      </c>
      <c r="B21" s="1097"/>
      <c r="C21" s="1102"/>
      <c r="D21" s="1099"/>
      <c r="E21" s="1098"/>
      <c r="F21" s="1112"/>
      <c r="G21" s="1100"/>
      <c r="H21" s="1100"/>
      <c r="I21" s="1098"/>
      <c r="N21" s="862"/>
      <c r="O21" s="862"/>
      <c r="P21" s="862"/>
      <c r="Q21" s="862"/>
    </row>
    <row r="22" spans="1:17" ht="12.75">
      <c r="A22">
        <f t="shared" si="5"/>
        <v>3</v>
      </c>
      <c r="B22" t="s">
        <v>547</v>
      </c>
      <c r="C22" s="1101">
        <f>+F46</f>
        <v>9877771.052</v>
      </c>
      <c r="D22" s="954">
        <f>+C22/C$27</f>
        <v>0.35024137664464516</v>
      </c>
      <c r="E22" s="503">
        <f t="shared" si="1"/>
        <v>16846610</v>
      </c>
      <c r="F22" s="1111">
        <v>0.03612646578449728</v>
      </c>
      <c r="G22" s="340">
        <f t="shared" si="2"/>
        <v>356848.9579371757</v>
      </c>
      <c r="H22" s="340">
        <f t="shared" si="3"/>
        <v>608608.4797497698</v>
      </c>
      <c r="I22" s="503">
        <f t="shared" si="4"/>
        <v>-251759.5218125941</v>
      </c>
      <c r="N22" s="862"/>
      <c r="O22" s="862"/>
      <c r="P22" s="862"/>
      <c r="Q22" s="862"/>
    </row>
    <row r="23" spans="1:17" ht="12.75">
      <c r="A23">
        <f t="shared" si="5"/>
        <v>4</v>
      </c>
      <c r="B23" t="s">
        <v>920</v>
      </c>
      <c r="C23" s="1101">
        <f>+G46</f>
        <v>1688310.994</v>
      </c>
      <c r="D23" s="954">
        <f t="shared" si="0"/>
        <v>0.05986333998125241</v>
      </c>
      <c r="E23" s="503">
        <f t="shared" si="1"/>
        <v>2879427</v>
      </c>
      <c r="F23" s="1111">
        <v>0.08051205374769344</v>
      </c>
      <c r="G23" s="340">
        <f t="shared" si="2"/>
        <v>135929.38549174974</v>
      </c>
      <c r="H23" s="340">
        <f t="shared" si="3"/>
        <v>231828.58138655967</v>
      </c>
      <c r="I23" s="503">
        <f t="shared" si="4"/>
        <v>-95899.19589480993</v>
      </c>
      <c r="N23" s="862"/>
      <c r="O23" s="862"/>
      <c r="P23" s="862"/>
      <c r="Q23" s="862"/>
    </row>
    <row r="24" spans="1:17" ht="12.75">
      <c r="A24">
        <f t="shared" si="5"/>
        <v>5</v>
      </c>
      <c r="B24" t="s">
        <v>921</v>
      </c>
      <c r="C24" s="1101">
        <f>+H46</f>
        <v>213130</v>
      </c>
      <c r="D24" s="954">
        <f t="shared" si="0"/>
        <v>0.007557063654472848</v>
      </c>
      <c r="E24" s="503">
        <f t="shared" si="1"/>
        <v>363495</v>
      </c>
      <c r="F24" s="1111">
        <v>0.1151916355991698</v>
      </c>
      <c r="G24" s="340">
        <f t="shared" si="2"/>
        <v>24550.79329525106</v>
      </c>
      <c r="H24" s="340">
        <f t="shared" si="3"/>
        <v>41871.58358212023</v>
      </c>
      <c r="I24" s="503">
        <f t="shared" si="4"/>
        <v>-17320.790286869167</v>
      </c>
      <c r="N24" s="862"/>
      <c r="O24" s="862"/>
      <c r="P24" s="862"/>
      <c r="Q24" s="862"/>
    </row>
    <row r="25" spans="1:17" ht="12.75">
      <c r="A25">
        <f t="shared" si="5"/>
        <v>6</v>
      </c>
      <c r="B25" t="s">
        <v>922</v>
      </c>
      <c r="C25" s="1101">
        <f>+I46</f>
        <v>9085422</v>
      </c>
      <c r="D25" s="954">
        <f t="shared" si="0"/>
        <v>0.3221466353012153</v>
      </c>
      <c r="E25" s="503">
        <f t="shared" si="1"/>
        <v>15495253</v>
      </c>
      <c r="F25" s="1111">
        <v>0.06001909431086555</v>
      </c>
      <c r="G25" s="340">
        <f t="shared" si="2"/>
        <v>545298.7998720127</v>
      </c>
      <c r="H25" s="340">
        <f t="shared" si="3"/>
        <v>930011.0511777224</v>
      </c>
      <c r="I25" s="503">
        <f t="shared" si="4"/>
        <v>-384712.2513057097</v>
      </c>
      <c r="N25" s="862"/>
      <c r="O25" s="862"/>
      <c r="P25" s="862"/>
      <c r="Q25" s="862"/>
    </row>
    <row r="26" spans="1:17" ht="12.75">
      <c r="A26">
        <f t="shared" si="5"/>
        <v>7</v>
      </c>
      <c r="B26" t="s">
        <v>923</v>
      </c>
      <c r="C26" s="1103">
        <f>+J46</f>
        <v>246769</v>
      </c>
      <c r="D26" s="954">
        <f t="shared" si="0"/>
        <v>0.008749819551215737</v>
      </c>
      <c r="E26" s="955">
        <f t="shared" si="1"/>
        <v>420866</v>
      </c>
      <c r="F26" s="1111">
        <v>0.043588216650691854</v>
      </c>
      <c r="G26" s="956">
        <f t="shared" si="2"/>
        <v>10756.220634674579</v>
      </c>
      <c r="H26" s="956">
        <f t="shared" si="3"/>
        <v>18344.798388910076</v>
      </c>
      <c r="I26" s="955">
        <f t="shared" si="4"/>
        <v>-7588.577754235497</v>
      </c>
      <c r="N26" s="862"/>
      <c r="O26" s="862"/>
      <c r="P26" s="862"/>
      <c r="Q26" s="862"/>
    </row>
    <row r="27" spans="1:17" ht="12.75">
      <c r="A27">
        <f t="shared" si="5"/>
        <v>8</v>
      </c>
      <c r="B27" s="557" t="str">
        <f>"Sum of Lines "&amp;A20&amp;" to "&amp;A26&amp;""</f>
        <v>Sum of Lines 1 to 7</v>
      </c>
      <c r="C27" s="503">
        <f>SUM(C20:C26)</f>
        <v>28202753.046</v>
      </c>
      <c r="E27" s="340">
        <f>+E10</f>
        <v>48100000</v>
      </c>
      <c r="F27" s="340"/>
      <c r="G27" s="340">
        <f>SUM(G20:G26)</f>
        <v>1534400.9669333235</v>
      </c>
      <c r="H27" s="340">
        <f>SUM(H20:H26)</f>
        <v>2616932.0161826233</v>
      </c>
      <c r="I27" s="340">
        <f>SUM(I20:I26)</f>
        <v>-1082531.0492493005</v>
      </c>
      <c r="N27" s="862"/>
      <c r="O27" s="862"/>
      <c r="P27" s="862"/>
      <c r="Q27" s="862"/>
    </row>
    <row r="28" spans="3:17" ht="12.75">
      <c r="C28" s="503"/>
      <c r="N28" s="862"/>
      <c r="O28" s="862"/>
      <c r="P28" s="862"/>
      <c r="Q28" s="862"/>
    </row>
    <row r="29" spans="9:17" ht="12.75">
      <c r="I29" s="862"/>
      <c r="N29" s="862"/>
      <c r="O29" s="862"/>
      <c r="P29" s="862"/>
      <c r="Q29" s="862"/>
    </row>
    <row r="30" spans="9:17" ht="12.75">
      <c r="I30" s="862"/>
      <c r="J30" s="862"/>
      <c r="K30" s="862"/>
      <c r="L30" s="862"/>
      <c r="M30" s="862"/>
      <c r="N30" s="862"/>
      <c r="O30" s="862"/>
      <c r="P30" s="862"/>
      <c r="Q30" s="862"/>
    </row>
    <row r="31" spans="9:17" ht="12.75">
      <c r="I31" s="862"/>
      <c r="J31" s="862"/>
      <c r="K31" s="862"/>
      <c r="L31" s="862"/>
      <c r="M31" s="862"/>
      <c r="N31" s="862"/>
      <c r="O31" s="862"/>
      <c r="P31" s="862"/>
      <c r="Q31" s="862"/>
    </row>
    <row r="32" spans="2:17" ht="12.75">
      <c r="B32" s="950" t="s">
        <v>905</v>
      </c>
      <c r="F32" s="695"/>
      <c r="I32" s="862"/>
      <c r="J32" s="862"/>
      <c r="K32" s="862"/>
      <c r="L32" s="862"/>
      <c r="M32" s="862"/>
      <c r="N32" s="862"/>
      <c r="O32" s="862"/>
      <c r="P32" s="862"/>
      <c r="Q32" s="862"/>
    </row>
    <row r="33" spans="5:17" ht="12.75">
      <c r="E33" s="695"/>
      <c r="I33" s="967"/>
      <c r="J33" s="862"/>
      <c r="K33" s="862"/>
      <c r="L33" s="862"/>
      <c r="M33" s="862"/>
      <c r="N33" s="862"/>
      <c r="O33" s="862"/>
      <c r="P33" s="862"/>
      <c r="Q33" s="862"/>
    </row>
    <row r="34" spans="4:17" ht="12.75">
      <c r="D34" s="957" t="s">
        <v>919</v>
      </c>
      <c r="E34" s="1090"/>
      <c r="F34" s="957" t="s">
        <v>547</v>
      </c>
      <c r="G34" s="957" t="s">
        <v>920</v>
      </c>
      <c r="H34" s="957" t="s">
        <v>924</v>
      </c>
      <c r="I34" s="958" t="s">
        <v>922</v>
      </c>
      <c r="J34" s="958" t="s">
        <v>923</v>
      </c>
      <c r="K34" s="958" t="s">
        <v>925</v>
      </c>
      <c r="L34" s="862"/>
      <c r="M34" s="862"/>
      <c r="N34" s="862"/>
      <c r="O34" s="862"/>
      <c r="P34" s="862"/>
      <c r="Q34" s="862"/>
    </row>
    <row r="35" spans="5:17" ht="12.75">
      <c r="E35" s="1091"/>
      <c r="I35" s="862"/>
      <c r="J35" s="862"/>
      <c r="K35" s="862"/>
      <c r="L35" s="862"/>
      <c r="M35" s="862"/>
      <c r="N35" s="862"/>
      <c r="O35" s="862"/>
      <c r="P35" s="862"/>
      <c r="Q35" s="862"/>
    </row>
    <row r="36" spans="1:17" ht="12.75">
      <c r="A36">
        <f>+A27+1</f>
        <v>9</v>
      </c>
      <c r="B36" t="s">
        <v>906</v>
      </c>
      <c r="D36" s="1088">
        <v>13344817</v>
      </c>
      <c r="E36" s="1092"/>
      <c r="F36" s="1088">
        <f>3668731+2256762+5209062+730286</f>
        <v>11864841</v>
      </c>
      <c r="G36" s="1088">
        <f>1398848+780226+208394</f>
        <v>2387468</v>
      </c>
      <c r="H36" s="1088">
        <f>248833+49833</f>
        <v>298666</v>
      </c>
      <c r="I36" s="1088">
        <f>3660124+1853862+308396+4762927+4799089+1031902</f>
        <v>16416300</v>
      </c>
      <c r="J36" s="1088">
        <f>351526+9288</f>
        <v>360814</v>
      </c>
      <c r="K36" s="959">
        <f>SUM(D36:J36)</f>
        <v>44672906</v>
      </c>
      <c r="L36" s="862"/>
      <c r="M36" s="862"/>
      <c r="N36" s="862"/>
      <c r="O36" s="862"/>
      <c r="P36" s="862"/>
      <c r="Q36" s="862"/>
    </row>
    <row r="37" spans="4:5" ht="12.75">
      <c r="D37" s="503"/>
      <c r="E37" s="1091"/>
    </row>
    <row r="38" spans="1:17" ht="12.75">
      <c r="A38">
        <f>+A36+1</f>
        <v>10</v>
      </c>
      <c r="B38" s="1165" t="s">
        <v>926</v>
      </c>
      <c r="C38" s="1165"/>
      <c r="D38" s="1088">
        <f>-D36-D40+6222780</f>
        <v>-2201733</v>
      </c>
      <c r="E38" s="1092"/>
      <c r="F38" s="1088">
        <f>-F36-F40+9240369.052</f>
        <v>1284988.0519999992</v>
      </c>
      <c r="G38" s="1088">
        <f>-G36-G40+1539230.994</f>
        <v>-0.006000000052154064</v>
      </c>
      <c r="H38" s="1088">
        <f>-H36-H40+188036</f>
        <v>0</v>
      </c>
      <c r="I38" s="1088">
        <f>-I36-I40+3642035+4208906</f>
        <v>-2461301</v>
      </c>
      <c r="J38" s="1088">
        <f>-J36-J40+223473</f>
        <v>0</v>
      </c>
      <c r="K38" s="959"/>
      <c r="L38" s="862"/>
      <c r="M38" s="862"/>
      <c r="N38" s="862"/>
      <c r="O38" s="862"/>
      <c r="P38" s="862"/>
      <c r="Q38" s="862"/>
    </row>
    <row r="39" spans="2:17" ht="12.75">
      <c r="B39" s="1165"/>
      <c r="C39" s="1165"/>
      <c r="D39" s="380"/>
      <c r="E39" s="1091"/>
      <c r="F39" s="380"/>
      <c r="G39" s="103"/>
      <c r="H39" s="103"/>
      <c r="I39" s="380"/>
      <c r="J39" s="103"/>
      <c r="K39" s="750"/>
      <c r="L39" s="862"/>
      <c r="M39" s="862"/>
      <c r="N39" s="862"/>
      <c r="O39" s="862"/>
      <c r="P39" s="862"/>
      <c r="Q39" s="862"/>
    </row>
    <row r="40" spans="1:17" ht="12.75">
      <c r="A40">
        <f>+A38+1</f>
        <v>11</v>
      </c>
      <c r="B40" t="s">
        <v>927</v>
      </c>
      <c r="D40" s="1088">
        <f>-2489064-2097653-333587</f>
        <v>-4920304</v>
      </c>
      <c r="E40" s="1092"/>
      <c r="F40" s="1088">
        <f>-1343564-786676-1510490-268730</f>
        <v>-3909460</v>
      </c>
      <c r="G40" s="1088">
        <f>-498914-283349-65974</f>
        <v>-848237</v>
      </c>
      <c r="H40" s="1088">
        <f>-92379-18251</f>
        <v>-110630</v>
      </c>
      <c r="I40" s="1088">
        <f>-1359514-693037-127796-1778701-1772926-372084</f>
        <v>-6104058</v>
      </c>
      <c r="J40" s="1088">
        <f>-131997-5344</f>
        <v>-137341</v>
      </c>
      <c r="K40" s="959">
        <f>SUM(D40:J40)</f>
        <v>-16030030</v>
      </c>
      <c r="L40" s="862"/>
      <c r="M40" s="862"/>
      <c r="N40" s="862"/>
      <c r="O40" s="862"/>
      <c r="P40" s="862"/>
      <c r="Q40" s="862"/>
    </row>
    <row r="41" spans="4:17" ht="12.75">
      <c r="D41" s="166"/>
      <c r="E41" s="1093"/>
      <c r="F41" s="166"/>
      <c r="G41" s="166"/>
      <c r="H41" s="166"/>
      <c r="I41" s="960"/>
      <c r="J41" s="960"/>
      <c r="K41" s="961"/>
      <c r="L41" s="862"/>
      <c r="M41" s="862"/>
      <c r="N41" s="862"/>
      <c r="O41" s="862"/>
      <c r="P41" s="862"/>
      <c r="Q41" s="862"/>
    </row>
    <row r="42" spans="1:17" ht="12.75">
      <c r="A42">
        <f>+A40+1</f>
        <v>12</v>
      </c>
      <c r="B42" t="str">
        <f>"Net Company Expense (Ln "&amp;A36&amp;" + Ln "&amp;A38&amp;" + Ln  "&amp;A40&amp;")"</f>
        <v>Net Company Expense (Ln 9 + Ln 10 + Ln  11)</v>
      </c>
      <c r="D42" s="695">
        <f aca="true" t="shared" si="6" ref="D42:J42">+D36+D40+D38</f>
        <v>6222780</v>
      </c>
      <c r="E42" s="1094"/>
      <c r="F42" s="695">
        <f t="shared" si="6"/>
        <v>9240369.052</v>
      </c>
      <c r="G42" s="695">
        <f t="shared" si="6"/>
        <v>1539230.994</v>
      </c>
      <c r="H42" s="695">
        <f t="shared" si="6"/>
        <v>188036</v>
      </c>
      <c r="I42" s="695">
        <f t="shared" si="6"/>
        <v>7850941</v>
      </c>
      <c r="J42" s="695">
        <f t="shared" si="6"/>
        <v>223473</v>
      </c>
      <c r="K42" s="959">
        <f>SUM(D42:J42)</f>
        <v>25264830.046</v>
      </c>
      <c r="L42" s="862"/>
      <c r="M42" s="862"/>
      <c r="N42" s="862"/>
      <c r="O42" s="862"/>
      <c r="P42" s="862"/>
      <c r="Q42" s="862"/>
    </row>
    <row r="43" spans="5:17" ht="12.75">
      <c r="E43" s="1091"/>
      <c r="G43" s="695">
        <f>+G39+G41</f>
        <v>0</v>
      </c>
      <c r="I43" s="862"/>
      <c r="J43" s="862"/>
      <c r="K43" s="750"/>
      <c r="L43" s="962"/>
      <c r="M43" s="862"/>
      <c r="N43" s="862"/>
      <c r="O43" s="862"/>
      <c r="P43" s="862"/>
      <c r="Q43" s="862"/>
    </row>
    <row r="44" spans="1:17" ht="12.75">
      <c r="A44">
        <f>+A42+1</f>
        <v>13</v>
      </c>
      <c r="B44" s="1165" t="s">
        <v>907</v>
      </c>
      <c r="C44" s="1165"/>
      <c r="D44" s="554">
        <v>868570</v>
      </c>
      <c r="E44" s="1095"/>
      <c r="F44" s="554">
        <v>637402</v>
      </c>
      <c r="G44" s="554">
        <v>149080</v>
      </c>
      <c r="H44" s="554">
        <v>25094</v>
      </c>
      <c r="I44" s="1089">
        <v>1234481</v>
      </c>
      <c r="J44" s="1089">
        <v>23296</v>
      </c>
      <c r="K44" s="959">
        <f>SUM(D44:J44)</f>
        <v>2937923</v>
      </c>
      <c r="L44" s="963"/>
      <c r="M44" s="862"/>
      <c r="N44" s="862"/>
      <c r="O44" s="862"/>
      <c r="P44" s="862"/>
      <c r="Q44" s="862"/>
    </row>
    <row r="45" spans="2:17" ht="12.75">
      <c r="B45" s="1165"/>
      <c r="C45" s="1165"/>
      <c r="D45" s="135"/>
      <c r="E45" s="1091"/>
      <c r="I45" s="862"/>
      <c r="J45" s="862"/>
      <c r="K45" s="750"/>
      <c r="L45" s="862"/>
      <c r="M45" s="862"/>
      <c r="N45" s="862"/>
      <c r="O45" s="862"/>
      <c r="P45" s="862"/>
      <c r="Q45" s="862"/>
    </row>
    <row r="46" spans="1:17" ht="13.5" thickBot="1">
      <c r="A46">
        <f>+A44+1</f>
        <v>14</v>
      </c>
      <c r="B46" t="str">
        <f>"Company PBOP Expense (Ln "&amp;A42&amp;" + Ln  "&amp;A44&amp;")"</f>
        <v>Company PBOP Expense (Ln 12 + Ln  13)</v>
      </c>
      <c r="D46" s="1053">
        <f>+D44+D40+D38+D36</f>
        <v>7091350</v>
      </c>
      <c r="E46" s="1096"/>
      <c r="F46" s="1053">
        <f>+F44+F40+F38+F36</f>
        <v>9877771.052</v>
      </c>
      <c r="G46" s="1053">
        <f>+G44+G40+G38+G36</f>
        <v>1688310.994</v>
      </c>
      <c r="H46" s="1053">
        <f>+H44+H40+H38+H36</f>
        <v>213130</v>
      </c>
      <c r="I46" s="1053">
        <f>+I44+I40+I38+I36</f>
        <v>9085422</v>
      </c>
      <c r="J46" s="1053">
        <f>+J44+J40+J38+J36</f>
        <v>246769</v>
      </c>
      <c r="K46" s="964">
        <f>SUM(D46:J46)</f>
        <v>28202753.046</v>
      </c>
      <c r="L46" s="862"/>
      <c r="M46" s="862"/>
      <c r="N46" s="862"/>
      <c r="O46" s="862"/>
      <c r="P46" s="862"/>
      <c r="Q46" s="862"/>
    </row>
    <row r="47" spans="9:17" ht="13.5" thickTop="1">
      <c r="I47" s="862"/>
      <c r="J47" s="862"/>
      <c r="K47" s="862"/>
      <c r="L47" s="862"/>
      <c r="M47" s="862"/>
      <c r="N47" s="862"/>
      <c r="O47" s="862"/>
      <c r="P47" s="862"/>
      <c r="Q47" s="862"/>
    </row>
    <row r="48" spans="4:17" ht="12.75">
      <c r="D48" s="965">
        <f aca="true" t="shared" si="7" ref="D48:K48">+D44/D42</f>
        <v>0.13957909487399522</v>
      </c>
      <c r="E48" s="965" t="e">
        <f t="shared" si="7"/>
        <v>#DIV/0!</v>
      </c>
      <c r="F48" s="965">
        <f t="shared" si="7"/>
        <v>0.06898014531811798</v>
      </c>
      <c r="G48" s="965">
        <f t="shared" si="7"/>
        <v>0.09685355907015994</v>
      </c>
      <c r="H48" s="965">
        <f t="shared" si="7"/>
        <v>0.13345316854219405</v>
      </c>
      <c r="I48" s="965">
        <f t="shared" si="7"/>
        <v>0.15723987735992412</v>
      </c>
      <c r="J48" s="965">
        <f t="shared" si="7"/>
        <v>0.10424525557897375</v>
      </c>
      <c r="K48" s="965">
        <f t="shared" si="7"/>
        <v>0.11628508858563014</v>
      </c>
      <c r="L48" s="862"/>
      <c r="M48" s="862"/>
      <c r="N48" s="862"/>
      <c r="O48" s="862"/>
      <c r="P48" s="862"/>
      <c r="Q48" s="862"/>
    </row>
    <row r="49" spans="9:17" ht="12.75">
      <c r="I49" s="862"/>
      <c r="J49" s="862"/>
      <c r="K49" s="862"/>
      <c r="L49" s="862"/>
      <c r="M49" s="862"/>
      <c r="N49" s="862"/>
      <c r="O49" s="862"/>
      <c r="P49" s="862"/>
      <c r="Q49" s="862"/>
    </row>
    <row r="50" spans="9:17" ht="12.75">
      <c r="I50" s="862"/>
      <c r="J50" s="862"/>
      <c r="K50" s="862"/>
      <c r="L50" s="862"/>
      <c r="M50" s="862"/>
      <c r="N50" s="862"/>
      <c r="O50" s="862"/>
      <c r="P50" s="862"/>
      <c r="Q50" s="862"/>
    </row>
    <row r="51" spans="9:17" ht="12.75">
      <c r="I51" s="862"/>
      <c r="J51" s="862"/>
      <c r="K51" s="862"/>
      <c r="L51" s="862"/>
      <c r="M51" s="862"/>
      <c r="N51" s="862"/>
      <c r="O51" s="862"/>
      <c r="P51" s="862"/>
      <c r="Q51" s="862"/>
    </row>
    <row r="52" spans="9:17" ht="12.75">
      <c r="I52" s="862"/>
      <c r="J52" s="862"/>
      <c r="K52" s="862"/>
      <c r="L52" s="862"/>
      <c r="M52" s="862"/>
      <c r="N52" s="862"/>
      <c r="O52" s="862"/>
      <c r="P52" s="862"/>
      <c r="Q52" s="862"/>
    </row>
    <row r="53" ht="12.75">
      <c r="Q53" s="862"/>
    </row>
    <row r="54" ht="12.75">
      <c r="Q54" s="862"/>
    </row>
    <row r="55" ht="12.75">
      <c r="Q55" s="862"/>
    </row>
    <row r="56" ht="12.75">
      <c r="Q56" s="862"/>
    </row>
    <row r="57" ht="12.75">
      <c r="Q57" s="862"/>
    </row>
    <row r="58" ht="12.75">
      <c r="Q58" s="862"/>
    </row>
    <row r="59" ht="12.75">
      <c r="Q59" s="860"/>
    </row>
    <row r="60" ht="18.75" customHeight="1"/>
    <row r="61" spans="17:19" ht="12.75" customHeight="1">
      <c r="Q61" s="564"/>
      <c r="R61" s="564"/>
      <c r="S61" s="564"/>
    </row>
    <row r="62" ht="68.25" customHeight="1"/>
    <row r="73" ht="39.75" customHeight="1"/>
    <row r="82" spans="17:22" ht="15.75" customHeight="1">
      <c r="Q82" s="966"/>
      <c r="R82" s="966"/>
      <c r="S82" s="966"/>
      <c r="T82" s="966"/>
      <c r="U82" s="966"/>
      <c r="V82" s="400"/>
    </row>
    <row r="83" spans="17:22" ht="6" customHeight="1">
      <c r="Q83" s="966"/>
      <c r="R83" s="966"/>
      <c r="S83" s="966"/>
      <c r="T83" s="966"/>
      <c r="U83" s="966"/>
      <c r="V83" s="400"/>
    </row>
    <row r="84" spans="17:22" ht="12.75">
      <c r="Q84" s="966"/>
      <c r="R84" s="966"/>
      <c r="S84" s="966"/>
      <c r="T84" s="966"/>
      <c r="U84" s="966"/>
      <c r="V84" s="400"/>
    </row>
    <row r="85" spans="17:22" ht="6" customHeight="1">
      <c r="Q85" s="966"/>
      <c r="R85" s="966"/>
      <c r="S85" s="966"/>
      <c r="T85" s="966"/>
      <c r="U85" s="966"/>
      <c r="V85" s="400"/>
    </row>
    <row r="86" spans="17:22" ht="12.75">
      <c r="Q86" s="966"/>
      <c r="R86" s="966"/>
      <c r="S86" s="966"/>
      <c r="T86" s="966"/>
      <c r="U86" s="966"/>
      <c r="V86" s="400"/>
    </row>
    <row r="87" spans="17:22" ht="12.75" customHeight="1">
      <c r="Q87" s="966"/>
      <c r="R87" s="966"/>
      <c r="S87" s="966"/>
      <c r="T87" s="966"/>
      <c r="U87" s="966"/>
      <c r="V87" s="400"/>
    </row>
    <row r="88" spans="17:22" ht="6.75" customHeight="1">
      <c r="Q88" s="966"/>
      <c r="R88" s="966"/>
      <c r="S88" s="966"/>
      <c r="T88" s="966"/>
      <c r="U88" s="966"/>
      <c r="V88" s="400"/>
    </row>
    <row r="89" spans="17:22" ht="12.75">
      <c r="Q89" s="966"/>
      <c r="R89" s="966"/>
      <c r="S89" s="966"/>
      <c r="T89" s="966"/>
      <c r="U89" s="966"/>
      <c r="V89" s="400"/>
    </row>
    <row r="90" spans="17:21" ht="12.75">
      <c r="Q90" s="966"/>
      <c r="R90" s="966"/>
      <c r="S90" s="966"/>
      <c r="T90" s="966"/>
      <c r="U90" s="400"/>
    </row>
    <row r="91" spans="17:21" ht="12.75">
      <c r="Q91" s="966"/>
      <c r="R91" s="966"/>
      <c r="S91" s="966"/>
      <c r="T91" s="966"/>
      <c r="U91" s="400"/>
    </row>
    <row r="92" spans="17:21" ht="12.75">
      <c r="Q92" s="966"/>
      <c r="R92" s="966"/>
      <c r="S92" s="966"/>
      <c r="T92" s="966"/>
      <c r="U92" s="400"/>
    </row>
    <row r="93" spans="17:18" ht="12.75">
      <c r="Q93" s="860"/>
      <c r="R93" s="860"/>
    </row>
    <row r="94" ht="12.75">
      <c r="Q94" s="860"/>
    </row>
    <row r="96" ht="12.75" customHeight="1"/>
    <row r="97" ht="12.75" customHeight="1"/>
    <row r="98" ht="12.75" customHeight="1"/>
    <row r="99" ht="12.75" customHeight="1"/>
    <row r="105" ht="14.25" customHeight="1"/>
    <row r="106" ht="14.25" customHeight="1"/>
    <row r="113" ht="12.75" customHeight="1"/>
    <row r="114" ht="12.75" customHeight="1"/>
    <row r="115" ht="12.75" customHeight="1"/>
    <row r="116" ht="12.75" customHeight="1"/>
    <row r="117" ht="15.75" customHeight="1"/>
    <row r="130" ht="12.75" customHeight="1"/>
    <row r="131" ht="12.75" customHeight="1"/>
    <row r="133" ht="12.75" customHeight="1"/>
    <row r="147" ht="12.75" customHeight="1"/>
    <row r="148" ht="12.75" customHeight="1"/>
    <row r="150" ht="12.75" customHeight="1"/>
    <row r="165" ht="12.75" customHeight="1"/>
    <row r="166" ht="12.75" customHeight="1"/>
    <row r="167" ht="12.75" customHeight="1"/>
    <row r="183" ht="12.75">
      <c r="M183" s="503"/>
    </row>
    <row r="184" ht="12.75">
      <c r="M184" s="548"/>
    </row>
    <row r="185" ht="12.75">
      <c r="M185" s="139"/>
    </row>
    <row r="186" ht="12.75" customHeight="1">
      <c r="M186" s="139"/>
    </row>
    <row r="187" ht="12.75">
      <c r="M187" s="139"/>
    </row>
    <row r="188" ht="12.75">
      <c r="M188" s="139"/>
    </row>
    <row r="189" ht="12.75">
      <c r="M189" s="952"/>
    </row>
    <row r="190" ht="12.75">
      <c r="M190" s="952"/>
    </row>
    <row r="191" ht="12.75">
      <c r="M191" s="503"/>
    </row>
    <row r="192" ht="12.75">
      <c r="M192" s="503"/>
    </row>
    <row r="193" ht="12.75">
      <c r="M193" s="503"/>
    </row>
    <row r="194" ht="12.75">
      <c r="M194" s="503"/>
    </row>
    <row r="195" ht="12.75">
      <c r="M195" s="503"/>
    </row>
    <row r="196" ht="12.75">
      <c r="M196" s="503"/>
    </row>
    <row r="197" ht="12.75">
      <c r="M197" s="234"/>
    </row>
    <row r="198" ht="12.75">
      <c r="M198" s="340"/>
    </row>
    <row r="200" ht="12.75">
      <c r="M200" s="503"/>
    </row>
    <row r="205" ht="12.75">
      <c r="M205" s="503"/>
    </row>
    <row r="206" ht="12.75">
      <c r="M206" s="548"/>
    </row>
    <row r="207" ht="12.75">
      <c r="M207" s="139"/>
    </row>
    <row r="208" ht="12.75" customHeight="1">
      <c r="M208" s="139"/>
    </row>
    <row r="209" ht="12.75">
      <c r="M209" s="139"/>
    </row>
    <row r="210" ht="12.75">
      <c r="M210" s="139"/>
    </row>
    <row r="211" ht="12.75">
      <c r="M211" s="952"/>
    </row>
    <row r="212" ht="12.75">
      <c r="M212" s="952"/>
    </row>
    <row r="213" ht="12.75">
      <c r="M213" s="503"/>
    </row>
    <row r="214" ht="12.75">
      <c r="M214" s="503"/>
    </row>
    <row r="215" ht="12.75">
      <c r="M215" s="503"/>
    </row>
    <row r="216" ht="12.75">
      <c r="M216" s="503"/>
    </row>
    <row r="217" ht="12.75">
      <c r="M217" s="503"/>
    </row>
    <row r="218" ht="12.75">
      <c r="M218" s="503"/>
    </row>
    <row r="219" ht="12.75">
      <c r="M219" s="234"/>
    </row>
    <row r="220" ht="12.75">
      <c r="M220" s="340"/>
    </row>
    <row r="222" ht="12.75">
      <c r="M222" s="503"/>
    </row>
    <row r="227" ht="12.75">
      <c r="M227" s="503"/>
    </row>
    <row r="228" ht="12.75">
      <c r="M228" s="548"/>
    </row>
    <row r="229" ht="12.75">
      <c r="M229" s="139"/>
    </row>
    <row r="230" ht="12.75" customHeight="1">
      <c r="M230" s="139"/>
    </row>
    <row r="231" ht="12.75">
      <c r="M231" s="139"/>
    </row>
    <row r="232" ht="12.75">
      <c r="M232" s="139"/>
    </row>
    <row r="233" ht="12.75">
      <c r="M233" s="952"/>
    </row>
    <row r="234" ht="12.75">
      <c r="M234" s="952"/>
    </row>
    <row r="235" ht="12.75">
      <c r="M235" s="503"/>
    </row>
    <row r="236" ht="12.75">
      <c r="M236" s="503"/>
    </row>
    <row r="237" ht="12.75">
      <c r="M237" s="503"/>
    </row>
    <row r="238" ht="12.75">
      <c r="M238" s="503"/>
    </row>
    <row r="239" ht="12.75">
      <c r="M239" s="503"/>
    </row>
    <row r="240" ht="12.75">
      <c r="M240" s="503"/>
    </row>
    <row r="241" ht="12.75">
      <c r="M241" s="234"/>
    </row>
    <row r="242" ht="12.75">
      <c r="M242" s="340"/>
    </row>
    <row r="244" ht="12.75">
      <c r="M244" s="503"/>
    </row>
    <row r="249" ht="12.75">
      <c r="M249" s="503"/>
    </row>
    <row r="250" ht="12.75">
      <c r="M250" s="548"/>
    </row>
    <row r="251" ht="12.75">
      <c r="M251" s="139"/>
    </row>
    <row r="252" ht="12.75" customHeight="1">
      <c r="M252" s="139"/>
    </row>
    <row r="253" ht="12.75">
      <c r="M253" s="139"/>
    </row>
    <row r="254" ht="12.75">
      <c r="M254" s="139"/>
    </row>
    <row r="255" ht="12.75">
      <c r="M255" s="952"/>
    </row>
    <row r="256" ht="12.75">
      <c r="M256" s="952"/>
    </row>
    <row r="257" ht="12.75">
      <c r="M257" s="503"/>
    </row>
    <row r="258" ht="12.75">
      <c r="M258" s="503"/>
    </row>
    <row r="259" ht="12.75">
      <c r="M259" s="503"/>
    </row>
    <row r="260" ht="12.75">
      <c r="M260" s="503"/>
    </row>
    <row r="261" ht="12.75">
      <c r="M261" s="503"/>
    </row>
    <row r="262" ht="12.75">
      <c r="M262" s="503"/>
    </row>
    <row r="263" ht="12.75">
      <c r="M263" s="234"/>
    </row>
    <row r="264" ht="12.75">
      <c r="M264" s="340"/>
    </row>
    <row r="266" ht="12.75">
      <c r="M266" s="503"/>
    </row>
    <row r="271" ht="12.75">
      <c r="M271" s="503"/>
    </row>
    <row r="272" ht="12.75">
      <c r="M272" s="548"/>
    </row>
    <row r="273" ht="12.75" customHeight="1">
      <c r="M273" s="139"/>
    </row>
    <row r="274" ht="12.75" customHeight="1">
      <c r="M274" s="139"/>
    </row>
    <row r="275" ht="12.75">
      <c r="M275" s="139"/>
    </row>
    <row r="276" ht="12.75" customHeight="1">
      <c r="M276" s="139"/>
    </row>
    <row r="277" ht="12.75">
      <c r="M277" s="952"/>
    </row>
    <row r="278" ht="12.75">
      <c r="M278" s="952"/>
    </row>
    <row r="279" ht="12.75">
      <c r="M279" s="503"/>
    </row>
    <row r="280" ht="12.75">
      <c r="M280" s="503"/>
    </row>
    <row r="281" ht="12.75">
      <c r="M281" s="503"/>
    </row>
    <row r="282" ht="12.75">
      <c r="M282" s="503"/>
    </row>
    <row r="283" ht="12.75">
      <c r="M283" s="503"/>
    </row>
    <row r="284" ht="12.75">
      <c r="M284" s="503"/>
    </row>
    <row r="285" ht="12.75">
      <c r="M285" s="234"/>
    </row>
    <row r="286" ht="12.75">
      <c r="M286" s="340"/>
    </row>
    <row r="288" ht="12.75">
      <c r="M288" s="503"/>
    </row>
  </sheetData>
  <sheetProtection/>
  <mergeCells count="15">
    <mergeCell ref="B44:C45"/>
    <mergeCell ref="B38:C39"/>
    <mergeCell ref="B7:M7"/>
    <mergeCell ref="C13:E13"/>
    <mergeCell ref="F15:F16"/>
    <mergeCell ref="H15:H16"/>
    <mergeCell ref="I14:I16"/>
    <mergeCell ref="C14:C16"/>
    <mergeCell ref="D14:D16"/>
    <mergeCell ref="E14:E16"/>
    <mergeCell ref="B12:C12"/>
    <mergeCell ref="A4:K4"/>
    <mergeCell ref="A1:K1"/>
    <mergeCell ref="A2:K2"/>
    <mergeCell ref="A3:K3"/>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1" max="18" man="1"/>
    <brk id="127" max="18" man="1"/>
    <brk id="161" max="18" man="1"/>
    <brk id="243" min="1" max="6" man="1"/>
  </rowBreaks>
  <colBreaks count="1" manualBreakCount="1">
    <brk id="11" max="45" man="1"/>
  </colBreaks>
</worksheet>
</file>

<file path=xl/worksheets/sheet2.xml><?xml version="1.0" encoding="utf-8"?>
<worksheet xmlns="http://schemas.openxmlformats.org/spreadsheetml/2006/main" xmlns:r="http://schemas.openxmlformats.org/officeDocument/2006/relationships">
  <dimension ref="B1:U1248"/>
  <sheetViews>
    <sheetView zoomScale="65" zoomScaleNormal="6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283</v>
      </c>
      <c r="O1" s="878">
        <v>2011</v>
      </c>
    </row>
    <row r="2" spans="2:15" ht="15">
      <c r="B2" s="92"/>
      <c r="C2" s="13"/>
      <c r="D2" s="13"/>
      <c r="E2" s="13"/>
      <c r="F2" s="13"/>
      <c r="G2" s="13"/>
      <c r="H2" s="13"/>
      <c r="I2" s="13"/>
      <c r="J2" s="13"/>
      <c r="K2" s="13"/>
      <c r="L2" s="13"/>
      <c r="M2" s="13"/>
      <c r="N2" s="16" t="s">
        <v>284</v>
      </c>
      <c r="O2" s="878">
        <v>2012</v>
      </c>
    </row>
    <row r="3" spans="2:15" ht="15">
      <c r="B3" s="92"/>
      <c r="C3" s="13"/>
      <c r="D3" s="17"/>
      <c r="E3" s="17"/>
      <c r="F3" s="11" t="s">
        <v>280</v>
      </c>
      <c r="G3" s="90"/>
      <c r="H3" s="90"/>
      <c r="J3" s="17"/>
      <c r="K3" s="18"/>
      <c r="L3" s="18"/>
      <c r="M3" s="101"/>
      <c r="O3" s="923"/>
    </row>
    <row r="4" spans="2:13" ht="15">
      <c r="B4" s="92"/>
      <c r="C4" s="13"/>
      <c r="D4" s="17"/>
      <c r="E4" s="19"/>
      <c r="F4" s="11" t="s">
        <v>281</v>
      </c>
      <c r="G4" s="90"/>
      <c r="H4" s="90"/>
      <c r="J4" s="19"/>
      <c r="K4" s="18"/>
      <c r="L4" s="18"/>
      <c r="M4" s="101"/>
    </row>
    <row r="5" spans="2:13" ht="15">
      <c r="B5" s="92"/>
      <c r="C5" s="13"/>
      <c r="D5" s="18"/>
      <c r="E5" s="18"/>
      <c r="F5" s="12" t="str">
        <f>"Utilizing  Historic Cost Data for "&amp;O1&amp;" with Year-End Rate Base Balances"</f>
        <v>Utilizing  Historic Cost Data for 2011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99" t="s">
        <v>36</v>
      </c>
      <c r="G7" s="22"/>
      <c r="H7" s="18"/>
      <c r="I7" s="18"/>
      <c r="J7" s="18"/>
      <c r="K7" s="18"/>
      <c r="L7"/>
      <c r="M7" s="18"/>
    </row>
    <row r="8" spans="2:13" ht="15">
      <c r="B8" s="93"/>
      <c r="C8" s="20"/>
      <c r="D8" s="18"/>
      <c r="E8" s="18"/>
      <c r="F8" s="216"/>
      <c r="G8" s="22"/>
      <c r="H8" s="18"/>
      <c r="I8" s="18"/>
      <c r="J8" s="18"/>
      <c r="K8" s="18"/>
      <c r="L8"/>
      <c r="M8" s="18"/>
    </row>
    <row r="9" spans="2:13" ht="15">
      <c r="B9" s="93" t="s">
        <v>764</v>
      </c>
      <c r="C9" s="20"/>
      <c r="D9" s="18"/>
      <c r="E9" s="18"/>
      <c r="F9" s="18"/>
      <c r="G9" s="22"/>
      <c r="H9" s="18"/>
      <c r="I9" s="18"/>
      <c r="J9" s="18"/>
      <c r="K9" s="18"/>
      <c r="L9" s="20" t="s">
        <v>710</v>
      </c>
      <c r="M9" s="18"/>
    </row>
    <row r="10" spans="2:13" ht="15.75" thickBot="1">
      <c r="B10" s="94" t="s">
        <v>712</v>
      </c>
      <c r="C10" s="25"/>
      <c r="D10" s="18"/>
      <c r="E10" s="25"/>
      <c r="F10" s="18"/>
      <c r="G10" s="18"/>
      <c r="H10" s="18"/>
      <c r="I10" s="18"/>
      <c r="J10" s="18"/>
      <c r="K10" s="18"/>
      <c r="L10" s="24" t="s">
        <v>765</v>
      </c>
      <c r="M10" s="18"/>
    </row>
    <row r="11" spans="2:13" ht="15">
      <c r="B11" s="93">
        <f>+'KGPCo Projected TCOS'!B258+1</f>
        <v>166</v>
      </c>
      <c r="C11" s="20"/>
      <c r="D11" s="88" t="s">
        <v>706</v>
      </c>
      <c r="E11" s="26" t="str">
        <f>"(ln "&amp;B213&amp;")"</f>
        <v>(ln 303)</v>
      </c>
      <c r="F11" s="26"/>
      <c r="G11" s="27"/>
      <c r="H11" s="28"/>
      <c r="I11" s="18"/>
      <c r="J11" s="18"/>
      <c r="K11" s="18"/>
      <c r="L11" s="69">
        <f>+L213</f>
        <v>2512885.1384721296</v>
      </c>
      <c r="M11" s="18"/>
    </row>
    <row r="12" spans="2:13" ht="15.75" thickBot="1">
      <c r="B12" s="93"/>
      <c r="C12" s="20"/>
      <c r="E12" s="333"/>
      <c r="F12" s="29"/>
      <c r="G12" s="24" t="s">
        <v>713</v>
      </c>
      <c r="H12" s="19"/>
      <c r="I12" s="30" t="s">
        <v>714</v>
      </c>
      <c r="J12" s="30"/>
      <c r="K12" s="18"/>
      <c r="L12" s="27"/>
      <c r="M12" s="18"/>
    </row>
    <row r="13" spans="2:13" ht="15">
      <c r="B13" s="93">
        <f>+B11+1</f>
        <v>167</v>
      </c>
      <c r="C13" s="20"/>
      <c r="D13" s="89" t="s">
        <v>763</v>
      </c>
      <c r="E13" s="333" t="s">
        <v>179</v>
      </c>
      <c r="F13" s="29"/>
      <c r="G13" s="130">
        <f>+'KGPCo WS E Rev Credits'!K25</f>
        <v>158042</v>
      </c>
      <c r="H13" s="29"/>
      <c r="I13" s="49" t="s">
        <v>724</v>
      </c>
      <c r="J13" s="50">
        <f>VLOOKUP(I13,APCo_Hist_Allocators,2,FALSE)</f>
        <v>1</v>
      </c>
      <c r="K13" s="19"/>
      <c r="L13" s="160">
        <f>+J13*G13</f>
        <v>158042</v>
      </c>
      <c r="M13" s="18"/>
    </row>
    <row r="14" spans="2:13" ht="15">
      <c r="B14" s="93"/>
      <c r="C14" s="20"/>
      <c r="D14" s="89"/>
      <c r="F14" s="19"/>
      <c r="L14" s="581"/>
      <c r="M14" s="18"/>
    </row>
    <row r="15" spans="2:13" ht="30.75" thickBot="1">
      <c r="B15" s="97">
        <f>+B13+1</f>
        <v>168</v>
      </c>
      <c r="C15" s="81"/>
      <c r="D15" s="141" t="s">
        <v>368</v>
      </c>
      <c r="E15" s="106" t="str">
        <f>"(ln "&amp;B11&amp;" less ln "&amp;B13&amp;")"</f>
        <v>(ln 166 less ln 167)</v>
      </c>
      <c r="F15" s="18"/>
      <c r="H15" s="19"/>
      <c r="I15" s="32"/>
      <c r="J15" s="19"/>
      <c r="K15" s="19"/>
      <c r="L15" s="305">
        <f>+L11-L13</f>
        <v>2354843.1384721296</v>
      </c>
      <c r="M15" s="18"/>
    </row>
    <row r="16" spans="2:13" ht="15.75" thickTop="1">
      <c r="B16" s="97"/>
      <c r="C16" s="81"/>
      <c r="D16" s="89"/>
      <c r="E16" s="106"/>
      <c r="F16" s="18"/>
      <c r="H16" s="19"/>
      <c r="I16" s="32"/>
      <c r="J16" s="19"/>
      <c r="K16" s="19"/>
      <c r="L16" s="107"/>
      <c r="M16" s="18"/>
    </row>
    <row r="17" spans="2:9" ht="15" customHeight="1">
      <c r="B17" s="1151"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51"/>
      <c r="D17" s="1151"/>
      <c r="E17" s="1151"/>
      <c r="F17" s="1151"/>
      <c r="G17" s="1151"/>
      <c r="H17" s="1151"/>
      <c r="I17" s="1151"/>
    </row>
    <row r="18" spans="2:9" ht="35.25" customHeight="1">
      <c r="B18" s="1151"/>
      <c r="C18" s="1151"/>
      <c r="D18" s="1151"/>
      <c r="E18" s="1151"/>
      <c r="F18" s="1151"/>
      <c r="G18" s="1151"/>
      <c r="H18" s="1151"/>
      <c r="I18" s="1151"/>
    </row>
    <row r="19" spans="2:9" ht="15" customHeight="1">
      <c r="B19" s="685"/>
      <c r="C19" s="685"/>
      <c r="D19" s="685"/>
      <c r="E19" s="685"/>
      <c r="F19" s="685"/>
      <c r="G19" s="685"/>
      <c r="H19" s="685"/>
      <c r="I19" s="685"/>
    </row>
    <row r="20" spans="2:13" ht="15">
      <c r="B20" s="93">
        <f>+B15+1</f>
        <v>169</v>
      </c>
      <c r="C20" s="81"/>
      <c r="D20" s="332" t="s">
        <v>249</v>
      </c>
      <c r="E20" s="333"/>
      <c r="F20" s="29"/>
      <c r="G20" s="123"/>
      <c r="H20" s="29"/>
      <c r="I20" s="49"/>
      <c r="J20" s="50"/>
      <c r="K20" s="26"/>
      <c r="L20" s="334"/>
      <c r="M20" s="18"/>
    </row>
    <row r="21" spans="2:13" ht="15">
      <c r="B21" s="93"/>
      <c r="C21" s="81"/>
      <c r="D21" s="332"/>
      <c r="E21" s="106"/>
      <c r="F21" s="29"/>
      <c r="G21" s="123"/>
      <c r="H21" s="29"/>
      <c r="I21" s="29"/>
      <c r="J21" s="50"/>
      <c r="K21" s="26"/>
      <c r="L21" s="334"/>
      <c r="M21" s="18"/>
    </row>
    <row r="22" spans="2:13" ht="15">
      <c r="B22" s="97">
        <f>+B20+1</f>
        <v>170</v>
      </c>
      <c r="C22" s="81"/>
      <c r="D22" s="332" t="s">
        <v>250</v>
      </c>
      <c r="E22" s="333"/>
      <c r="F22" s="18"/>
      <c r="G22" s="335"/>
      <c r="H22" s="18"/>
      <c r="I22" s="13"/>
      <c r="J22" s="18"/>
      <c r="K22" s="18"/>
      <c r="M22" s="18"/>
    </row>
    <row r="23" spans="2:13" ht="15">
      <c r="B23" s="93">
        <f>B22+1</f>
        <v>171</v>
      </c>
      <c r="C23" s="81"/>
      <c r="D23" s="57" t="s">
        <v>98</v>
      </c>
      <c r="E23" s="26" t="str">
        <f>"( (ln "&amp;B11&amp;" - ln "&amp;B171&amp;" - ln "&amp;B172&amp;")/ ln "&amp;B91&amp;" x 100)"</f>
        <v>( (ln 166 - ln 270 - ln 271)/ ln 213 x 100)</v>
      </c>
      <c r="F23" s="20"/>
      <c r="G23" s="20"/>
      <c r="H23" s="20"/>
      <c r="I23" s="336"/>
      <c r="J23" s="336"/>
      <c r="K23" s="336"/>
      <c r="L23" s="337">
        <f>(L11-L171-L172)/L91</f>
        <v>0.24979052009818414</v>
      </c>
      <c r="M23" s="18"/>
    </row>
    <row r="24" spans="2:13" ht="15">
      <c r="B24" s="93">
        <f>B23+1</f>
        <v>172</v>
      </c>
      <c r="C24" s="81"/>
      <c r="D24" s="57" t="s">
        <v>99</v>
      </c>
      <c r="E24" s="26" t="str">
        <f>"(ln "&amp;B23&amp;" / 12)"</f>
        <v>(ln 171 / 12)</v>
      </c>
      <c r="F24" s="20"/>
      <c r="G24" s="20"/>
      <c r="H24" s="20"/>
      <c r="I24" s="336"/>
      <c r="J24" s="336"/>
      <c r="K24" s="336"/>
      <c r="L24" s="338">
        <f>L23/12</f>
        <v>0.020815876674848677</v>
      </c>
      <c r="M24" s="18"/>
    </row>
    <row r="25" spans="2:13" ht="15">
      <c r="B25" s="93"/>
      <c r="C25" s="81"/>
      <c r="D25" s="57"/>
      <c r="E25" s="26"/>
      <c r="F25" s="20"/>
      <c r="G25" s="20"/>
      <c r="H25" s="20"/>
      <c r="I25" s="336"/>
      <c r="J25" s="336"/>
      <c r="K25" s="336"/>
      <c r="L25" s="338"/>
      <c r="M25" s="18"/>
    </row>
    <row r="26" spans="2:13" ht="15">
      <c r="B26" s="93">
        <f>B24+1</f>
        <v>173</v>
      </c>
      <c r="C26" s="81"/>
      <c r="D26" s="332" t="str">
        <f>"NET PLANT CARRYING CHARGE ON LINE "&amp;B23&amp;" , w/o depreciation or ROE incentives (Note B)"</f>
        <v>NET PLANT CARRYING CHARGE ON LINE 171 , w/o depreciation or ROE incentives (Note B)</v>
      </c>
      <c r="E26" s="26"/>
      <c r="F26" s="20"/>
      <c r="G26" s="20"/>
      <c r="H26" s="20"/>
      <c r="I26" s="336"/>
      <c r="J26" s="336"/>
      <c r="K26" s="336"/>
      <c r="L26" s="338"/>
      <c r="M26" s="18"/>
    </row>
    <row r="27" spans="2:13" ht="15">
      <c r="B27" s="93">
        <f>B26+1</f>
        <v>174</v>
      </c>
      <c r="C27" s="81"/>
      <c r="D27" s="57" t="s">
        <v>98</v>
      </c>
      <c r="E27" s="26" t="str">
        <f>"( (ln "&amp;B11&amp;" - ln "&amp;B171&amp;" - ln "&amp;B172&amp;" - ln "&amp;B178&amp;") / ln "&amp;B91&amp;" x 100)"</f>
        <v>( (ln 166 - ln 270 - ln 271 - ln 276) / ln 213 x 100)</v>
      </c>
      <c r="F27" s="20"/>
      <c r="G27" s="20"/>
      <c r="H27" s="20"/>
      <c r="I27" s="336"/>
      <c r="J27" s="336"/>
      <c r="K27" s="336"/>
      <c r="L27" s="337">
        <f>(L11-L171-L172-L178)/L91</f>
        <v>0.20135588261914594</v>
      </c>
      <c r="M27" s="18"/>
    </row>
    <row r="28" spans="2:13" ht="15">
      <c r="B28" s="93"/>
      <c r="C28" s="81"/>
      <c r="D28" s="57"/>
      <c r="E28" s="26"/>
      <c r="F28" s="20"/>
      <c r="G28" s="20"/>
      <c r="H28" s="20"/>
      <c r="I28" s="336"/>
      <c r="J28" s="336"/>
      <c r="K28" s="336"/>
      <c r="L28" s="338"/>
      <c r="M28" s="18"/>
    </row>
    <row r="29" spans="2:13" ht="15">
      <c r="B29" s="93">
        <f>B27+1</f>
        <v>175</v>
      </c>
      <c r="C29" s="81"/>
      <c r="D29" s="332" t="str">
        <f>"NET PLANT CARRYING CHARGE ON LINE "&amp;B27&amp;", w/o Return, income taxes or ROE incentives (Note B)"</f>
        <v>NET PLANT CARRYING CHARGE ON LINE 174, w/o Return, income taxes or ROE incentives (Note B)</v>
      </c>
      <c r="E29" s="26"/>
      <c r="F29" s="764"/>
      <c r="G29" s="764"/>
      <c r="H29" s="764"/>
      <c r="I29" s="764"/>
      <c r="J29" s="764"/>
      <c r="K29" s="764"/>
      <c r="L29" s="764"/>
      <c r="M29"/>
    </row>
    <row r="30" spans="2:13" ht="15">
      <c r="B30" s="93">
        <f>B29+1</f>
        <v>176</v>
      </c>
      <c r="C30" s="81"/>
      <c r="D30" s="17" t="s">
        <v>98</v>
      </c>
      <c r="E30" s="26" t="str">
        <f>"( (ln "&amp;B11&amp;" - ln "&amp;B171&amp;" - ln "&amp;B172&amp;" - ln "&amp;B178&amp;" - ln "&amp;B203&amp;" - ln "&amp;B205&amp;") / ln "&amp;B91&amp;" x 100)"</f>
        <v>( (ln 166 - ln 270 - ln 271 - ln 276 - ln 298 - ln 299) / ln 213 x 100)</v>
      </c>
      <c r="F30" s="764"/>
      <c r="G30" s="764"/>
      <c r="H30" s="764"/>
      <c r="I30" s="764"/>
      <c r="J30" s="764"/>
      <c r="K30" s="764"/>
      <c r="L30" s="619">
        <f>(L11-L171-L172-L178-L203-L205)/L91</f>
        <v>0.09484580092641454</v>
      </c>
      <c r="M30"/>
    </row>
    <row r="31" spans="2:13" ht="15">
      <c r="B31" s="93"/>
      <c r="C31" s="81"/>
      <c r="D31" s="17"/>
      <c r="E31" s="26"/>
      <c r="F31" s="20"/>
      <c r="G31" s="20"/>
      <c r="H31" s="20"/>
      <c r="I31" s="336"/>
      <c r="J31" s="336"/>
      <c r="K31" s="336"/>
      <c r="L31" s="337"/>
      <c r="M31" s="586"/>
    </row>
    <row r="32" spans="2:13" ht="15">
      <c r="B32" s="93">
        <f>B30+1</f>
        <v>177</v>
      </c>
      <c r="C32" s="20"/>
      <c r="D32" s="332" t="s">
        <v>249</v>
      </c>
      <c r="E32" s="26"/>
      <c r="F32" s="20"/>
      <c r="G32" s="20"/>
      <c r="H32" s="20"/>
      <c r="I32" s="336"/>
      <c r="J32" s="336"/>
      <c r="K32" s="336"/>
      <c r="L32" s="580"/>
      <c r="M32" s="18"/>
    </row>
    <row r="33" spans="2:13" ht="15">
      <c r="B33" s="93"/>
      <c r="C33" s="20"/>
      <c r="D33" s="13"/>
      <c r="E33" s="26"/>
      <c r="F33" s="20"/>
      <c r="G33" s="20"/>
      <c r="H33" s="20"/>
      <c r="I33" s="336"/>
      <c r="J33" s="336"/>
      <c r="K33" s="336"/>
      <c r="L33" s="337"/>
      <c r="M33" s="18"/>
    </row>
    <row r="34" spans="2:13" ht="15">
      <c r="B34" s="16"/>
      <c r="C34" s="20"/>
      <c r="D34" s="13"/>
      <c r="E34" s="26"/>
      <c r="F34" s="20"/>
      <c r="G34" s="20"/>
      <c r="H34" s="20"/>
      <c r="I34" s="336"/>
      <c r="J34" s="336"/>
      <c r="K34" s="336"/>
      <c r="L34" s="337"/>
      <c r="M34" s="18"/>
    </row>
    <row r="35" spans="2:13" ht="15.75">
      <c r="B35" s="93">
        <f>+B32+1</f>
        <v>178</v>
      </c>
      <c r="C35" s="20"/>
      <c r="D35" s="1161" t="s">
        <v>307</v>
      </c>
      <c r="E35" s="1161"/>
      <c r="F35" s="1161"/>
      <c r="G35" s="1161"/>
      <c r="H35" s="1161"/>
      <c r="I35" s="1161"/>
      <c r="J35" s="1161"/>
      <c r="K35" s="1161"/>
      <c r="L35" s="1161"/>
      <c r="M35" s="18"/>
    </row>
    <row r="36" spans="2:13" ht="15">
      <c r="B36" s="93"/>
      <c r="C36" s="20"/>
      <c r="D36" s="13"/>
      <c r="E36" s="26"/>
      <c r="F36" s="20"/>
      <c r="G36" s="20"/>
      <c r="H36" s="20"/>
      <c r="I36" s="336"/>
      <c r="J36" s="336"/>
      <c r="K36" s="336"/>
      <c r="L36" s="337"/>
      <c r="M36" s="18"/>
    </row>
    <row r="37" spans="2:13" ht="15">
      <c r="B37" s="93">
        <f>+B35+1</f>
        <v>179</v>
      </c>
      <c r="C37" s="20"/>
      <c r="D37" s="88" t="s">
        <v>309</v>
      </c>
      <c r="E37" s="26" t="str">
        <f>"Line "&amp;B149&amp;" Below"</f>
        <v>Line 250 Below</v>
      </c>
      <c r="F37" s="20"/>
      <c r="H37" s="20"/>
      <c r="I37" s="336"/>
      <c r="J37" s="336"/>
      <c r="K37" s="336"/>
      <c r="L37" s="129">
        <f>+G149</f>
        <v>50417.87</v>
      </c>
      <c r="M37" s="18"/>
    </row>
    <row r="38" spans="2:13" ht="15">
      <c r="B38" s="93">
        <f>+B37+1</f>
        <v>180</v>
      </c>
      <c r="C38" s="20"/>
      <c r="D38" s="88" t="s">
        <v>392</v>
      </c>
      <c r="E38" s="18"/>
      <c r="F38" s="20"/>
      <c r="H38" s="20"/>
      <c r="I38" s="336"/>
      <c r="J38" s="336"/>
      <c r="K38" s="336"/>
      <c r="L38" s="1049">
        <v>0</v>
      </c>
      <c r="M38" s="18"/>
    </row>
    <row r="39" spans="2:13" ht="15">
      <c r="B39" s="93">
        <f>+B38+1</f>
        <v>181</v>
      </c>
      <c r="C39" s="20"/>
      <c r="D39" s="88" t="s">
        <v>393</v>
      </c>
      <c r="E39" s="18"/>
      <c r="F39" s="20"/>
      <c r="H39" s="20"/>
      <c r="I39" s="336"/>
      <c r="J39" s="336"/>
      <c r="K39" s="336"/>
      <c r="L39" s="1049">
        <v>0</v>
      </c>
      <c r="M39" s="18"/>
    </row>
    <row r="40" spans="2:13" ht="15">
      <c r="B40" s="93"/>
      <c r="C40" s="20"/>
      <c r="E40" s="18"/>
      <c r="F40" s="20"/>
      <c r="H40" s="20"/>
      <c r="I40" s="336"/>
      <c r="J40" s="336"/>
      <c r="K40" s="336"/>
      <c r="L40" s="20"/>
      <c r="M40" s="18"/>
    </row>
    <row r="41" spans="2:13" ht="15.75" thickBot="1">
      <c r="B41" s="93">
        <f>+B39+1</f>
        <v>182</v>
      </c>
      <c r="C41" s="20"/>
      <c r="D41" s="88" t="s">
        <v>308</v>
      </c>
      <c r="E41" s="28" t="str">
        <f>"(Line "&amp;B37&amp;" - Line "&amp;B38&amp;" - Line "&amp;B39&amp;")"</f>
        <v>(Line 179 - Line 180 - Line 181)</v>
      </c>
      <c r="F41" s="20"/>
      <c r="H41" s="20"/>
      <c r="I41" s="336"/>
      <c r="J41" s="336"/>
      <c r="K41" s="336"/>
      <c r="L41" s="645">
        <f>+L37-L38-L39</f>
        <v>50417.87</v>
      </c>
      <c r="M41" s="18"/>
    </row>
    <row r="42" spans="2:13" ht="15.75" thickTop="1">
      <c r="B42" s="93"/>
      <c r="C42" s="20"/>
      <c r="D42" s="13"/>
      <c r="E42" s="26"/>
      <c r="F42" s="20"/>
      <c r="G42" s="20"/>
      <c r="H42" s="20"/>
      <c r="I42" s="336"/>
      <c r="J42" s="336"/>
      <c r="K42" s="336"/>
      <c r="L42" s="337"/>
      <c r="M42" s="18"/>
    </row>
    <row r="43" spans="2:13" ht="15">
      <c r="B43" s="93"/>
      <c r="C43" s="20"/>
      <c r="D43" s="13"/>
      <c r="E43" s="26"/>
      <c r="F43" s="20"/>
      <c r="G43" s="20"/>
      <c r="H43" s="20"/>
      <c r="I43" s="336"/>
      <c r="J43" s="336"/>
      <c r="K43" s="336"/>
      <c r="L43" s="337"/>
      <c r="M43" s="18"/>
    </row>
    <row r="44" spans="2:13" ht="15">
      <c r="B44" s="93"/>
      <c r="C44" s="20"/>
      <c r="D44" s="13"/>
      <c r="E44" s="26"/>
      <c r="F44" s="20"/>
      <c r="G44" s="20"/>
      <c r="H44" s="20"/>
      <c r="I44" s="336"/>
      <c r="J44" s="336"/>
      <c r="K44" s="336"/>
      <c r="L44" s="337"/>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9"/>
    </row>
    <row r="47" spans="2:16" ht="15">
      <c r="B47" s="92"/>
      <c r="C47" s="13"/>
      <c r="D47" s="17"/>
      <c r="E47" s="17"/>
      <c r="F47" s="20" t="str">
        <f>F3</f>
        <v>AEP East Companies </v>
      </c>
      <c r="G47" s="28"/>
      <c r="H47" s="17"/>
      <c r="I47" s="17"/>
      <c r="J47" s="17"/>
      <c r="K47" s="17"/>
      <c r="L47" s="17"/>
      <c r="M47" s="204"/>
      <c r="P47" s="589"/>
    </row>
    <row r="48" spans="2:16" ht="15">
      <c r="B48" s="92"/>
      <c r="C48" s="13"/>
      <c r="D48" s="17"/>
      <c r="E48" s="19"/>
      <c r="F48" s="20" t="str">
        <f>F4</f>
        <v>Transmission Cost of Service Formula Rate</v>
      </c>
      <c r="G48" s="19"/>
      <c r="H48" s="19"/>
      <c r="I48" s="19"/>
      <c r="J48" s="19"/>
      <c r="K48" s="19"/>
      <c r="L48" s="19"/>
      <c r="M48" s="587"/>
      <c r="P48" s="590"/>
    </row>
    <row r="49" spans="2:16" ht="15">
      <c r="B49" s="92"/>
      <c r="C49" s="13"/>
      <c r="D49" s="17"/>
      <c r="E49" s="19"/>
      <c r="F49" s="32" t="str">
        <f>F5</f>
        <v>Utilizing  Historic Cost Data for 2011 with Year-End Rate Base Balances</v>
      </c>
      <c r="G49" s="19"/>
      <c r="H49" s="19"/>
      <c r="I49" s="19"/>
      <c r="J49" s="19"/>
      <c r="K49" s="19"/>
      <c r="L49" s="19"/>
      <c r="M49" s="148"/>
      <c r="P49" s="590"/>
    </row>
    <row r="50" spans="2:16" ht="15">
      <c r="B50" s="92"/>
      <c r="C50" s="13"/>
      <c r="D50" s="17"/>
      <c r="E50" s="19"/>
      <c r="F50" s="20"/>
      <c r="G50" s="19"/>
      <c r="H50" s="19"/>
      <c r="I50" s="19"/>
      <c r="J50" s="19"/>
      <c r="K50" s="19"/>
      <c r="L50" s="19"/>
      <c r="M50" s="19"/>
      <c r="P50" s="590"/>
    </row>
    <row r="51" spans="2:16" ht="15">
      <c r="B51" s="92"/>
      <c r="C51" s="13"/>
      <c r="D51" s="17"/>
      <c r="E51" s="19"/>
      <c r="F51" s="20" t="str">
        <f>F7</f>
        <v>KINGSPORT POWER COMPANY</v>
      </c>
      <c r="G51" s="19"/>
      <c r="H51" s="19"/>
      <c r="I51" s="19"/>
      <c r="J51" s="19"/>
      <c r="K51" s="19"/>
      <c r="L51" s="19"/>
      <c r="M51" s="19"/>
      <c r="P51" s="590"/>
    </row>
    <row r="52" spans="2:16" ht="15">
      <c r="B52" s="92"/>
      <c r="C52" s="13"/>
      <c r="D52" s="17"/>
      <c r="E52" s="32"/>
      <c r="F52" s="32"/>
      <c r="G52" s="32"/>
      <c r="H52" s="32"/>
      <c r="I52" s="32"/>
      <c r="J52" s="32"/>
      <c r="K52" s="32"/>
      <c r="L52" s="19"/>
      <c r="M52" s="19"/>
      <c r="P52" s="590"/>
    </row>
    <row r="53" spans="2:13" ht="15">
      <c r="B53" s="92"/>
      <c r="C53" s="13"/>
      <c r="D53" s="20" t="s">
        <v>716</v>
      </c>
      <c r="E53" s="20" t="s">
        <v>717</v>
      </c>
      <c r="F53" s="20"/>
      <c r="G53" s="20" t="s">
        <v>718</v>
      </c>
      <c r="H53" s="19" t="s">
        <v>709</v>
      </c>
      <c r="I53" s="1148" t="s">
        <v>719</v>
      </c>
      <c r="J53" s="1170"/>
      <c r="K53" s="19"/>
      <c r="L53" s="21" t="s">
        <v>720</v>
      </c>
      <c r="M53" s="19"/>
    </row>
    <row r="54" spans="2:13" ht="15">
      <c r="B54" s="16"/>
      <c r="C54" s="13"/>
      <c r="D54" s="764"/>
      <c r="E54" s="764"/>
      <c r="F54" s="764"/>
      <c r="G54" s="129"/>
      <c r="H54" s="19"/>
      <c r="I54" s="19"/>
      <c r="J54" s="34"/>
      <c r="K54" s="19"/>
      <c r="L54" s="13"/>
      <c r="M54" s="19"/>
    </row>
    <row r="55" spans="2:16" ht="15.75">
      <c r="B55" s="95"/>
      <c r="C55" s="20"/>
      <c r="D55" s="764"/>
      <c r="E55" s="35" t="s">
        <v>687</v>
      </c>
      <c r="F55" s="37"/>
      <c r="G55" s="19"/>
      <c r="H55" s="19"/>
      <c r="I55" s="19"/>
      <c r="J55" s="20"/>
      <c r="K55" s="19"/>
      <c r="L55" s="36" t="s">
        <v>713</v>
      </c>
      <c r="M55" s="19"/>
      <c r="P55" s="589"/>
    </row>
    <row r="56" spans="2:13" ht="15.75">
      <c r="B56" s="16"/>
      <c r="C56" s="25"/>
      <c r="D56" s="55" t="s">
        <v>686</v>
      </c>
      <c r="E56" s="118" t="s">
        <v>707</v>
      </c>
      <c r="F56" s="19"/>
      <c r="G56" s="55" t="s">
        <v>673</v>
      </c>
      <c r="H56" s="39"/>
      <c r="I56" s="1146" t="s">
        <v>714</v>
      </c>
      <c r="J56" s="1147"/>
      <c r="K56" s="39"/>
      <c r="L56" s="55" t="s">
        <v>710</v>
      </c>
      <c r="M56" s="19"/>
    </row>
    <row r="57" spans="2:13" ht="15">
      <c r="B57" s="98" t="str">
        <f>B9</f>
        <v>Line</v>
      </c>
      <c r="C57" s="20"/>
      <c r="D57" s="17"/>
      <c r="E57" s="19"/>
      <c r="F57" s="19"/>
      <c r="G57" s="500" t="s">
        <v>210</v>
      </c>
      <c r="H57" s="19"/>
      <c r="I57" s="19"/>
      <c r="J57" s="19"/>
      <c r="K57" s="19"/>
      <c r="L57" s="19"/>
      <c r="M57" s="19"/>
    </row>
    <row r="58" spans="2:13" ht="15.75" thickBot="1">
      <c r="B58" s="94" t="str">
        <f>B10</f>
        <v>No.</v>
      </c>
      <c r="C58" s="20"/>
      <c r="D58" s="17" t="s">
        <v>674</v>
      </c>
      <c r="E58" s="41"/>
      <c r="F58" s="41"/>
      <c r="G58" s="29"/>
      <c r="H58" s="29"/>
      <c r="I58" s="49"/>
      <c r="J58" s="29"/>
      <c r="K58" s="29"/>
      <c r="L58" s="29"/>
      <c r="M58" s="19"/>
    </row>
    <row r="59" spans="2:13" ht="15">
      <c r="B59" s="93">
        <f>+B41+1</f>
        <v>183</v>
      </c>
      <c r="C59" s="20"/>
      <c r="D59" s="42" t="s">
        <v>721</v>
      </c>
      <c r="E59" s="29" t="str">
        <f>"(Worksheet A ln "&amp;'KGPCo WS A  - RB Support '!A14&amp;".C)"</f>
        <v>(Worksheet A ln 1.C)</v>
      </c>
      <c r="F59" s="29"/>
      <c r="G59" s="123">
        <f>+'KGPCo WS A  - RB Support '!E14</f>
        <v>0</v>
      </c>
      <c r="H59" s="123"/>
      <c r="I59" s="49" t="s">
        <v>722</v>
      </c>
      <c r="J59" s="50">
        <f>VLOOKUP(I59,APCo_Hist_Allocators,2,FALSE)</f>
        <v>0</v>
      </c>
      <c r="K59" s="29"/>
      <c r="L59" s="123">
        <f>+J59*G59</f>
        <v>0</v>
      </c>
      <c r="M59" s="19"/>
    </row>
    <row r="60" spans="2:13" ht="15">
      <c r="B60" s="93">
        <f>+B59+1</f>
        <v>184</v>
      </c>
      <c r="C60" s="20"/>
      <c r="D60" s="42" t="s">
        <v>258</v>
      </c>
      <c r="E60" s="29" t="str">
        <f>"(Worksheet A ln "&amp;'KGPCo WS A  - RB Support '!A16&amp;".C)"</f>
        <v>(Worksheet A ln 2.C)</v>
      </c>
      <c r="F60" s="29"/>
      <c r="G60" s="300">
        <f>-'KGPCo WS A  - RB Support '!E16</f>
        <v>0</v>
      </c>
      <c r="H60" s="123"/>
      <c r="I60" s="49" t="s">
        <v>722</v>
      </c>
      <c r="J60" s="50">
        <f>VLOOKUP(I60,APCo_Hist_Allocators,2,FALSE)</f>
        <v>0</v>
      </c>
      <c r="K60" s="29"/>
      <c r="L60" s="123">
        <f>+J60*G60</f>
        <v>0</v>
      </c>
      <c r="M60" s="19"/>
    </row>
    <row r="61" spans="2:13" ht="15">
      <c r="B61" s="93">
        <f aca="true" t="shared" si="0" ref="B61:B69">+B60+1</f>
        <v>185</v>
      </c>
      <c r="C61" s="44"/>
      <c r="D61" s="45" t="s">
        <v>723</v>
      </c>
      <c r="E61" s="29" t="str">
        <f>"(Worksheet A ln "&amp;'KGPCo WS A  - RB Support '!A18&amp;".C &amp; Ln "&amp;B229&amp;")"</f>
        <v>(Worksheet A ln 3.C &amp; Ln 307)</v>
      </c>
      <c r="F61" s="46"/>
      <c r="G61" s="123">
        <f>+'KGPCo WS A  - RB Support '!E18</f>
        <v>20264445</v>
      </c>
      <c r="H61" s="123"/>
      <c r="I61" s="301" t="s">
        <v>724</v>
      </c>
      <c r="J61" s="29"/>
      <c r="K61" s="295"/>
      <c r="L61" s="302">
        <f>+L229</f>
        <v>20264445</v>
      </c>
      <c r="M61" s="47"/>
    </row>
    <row r="62" spans="2:13" ht="15">
      <c r="B62" s="93">
        <f t="shared" si="0"/>
        <v>186</v>
      </c>
      <c r="C62" s="44"/>
      <c r="D62" s="61" t="s">
        <v>260</v>
      </c>
      <c r="E62" s="29" t="str">
        <f>"(Worksheet A ln "&amp;'KGPCo WS A  - RB Support '!A20&amp;".C&amp; Ln "&amp;B231&amp;")"</f>
        <v>(Worksheet A ln 4.C&amp; Ln 308)</v>
      </c>
      <c r="F62" s="46"/>
      <c r="G62" s="123">
        <f>-+'KGPCo WS A  - RB Support '!E20</f>
        <v>0</v>
      </c>
      <c r="H62" s="123"/>
      <c r="I62" s="301" t="s">
        <v>715</v>
      </c>
      <c r="J62" s="50">
        <f aca="true" t="shared" si="1" ref="J62:J69">VLOOKUP(I62,APCo_Hist_Allocators,2,FALSE)</f>
        <v>1</v>
      </c>
      <c r="K62" s="295"/>
      <c r="L62" s="302">
        <f>+G62*J62</f>
        <v>0</v>
      </c>
      <c r="M62" s="47"/>
    </row>
    <row r="63" spans="2:13" ht="15.75">
      <c r="B63" s="93">
        <f>+B62+1</f>
        <v>187</v>
      </c>
      <c r="C63" s="44"/>
      <c r="D63" s="494" t="s">
        <v>404</v>
      </c>
      <c r="E63" s="46"/>
      <c r="F63" s="46"/>
      <c r="G63" s="505" t="s">
        <v>255</v>
      </c>
      <c r="H63" s="764"/>
      <c r="I63" s="301" t="s">
        <v>722</v>
      </c>
      <c r="J63" s="50">
        <f t="shared" si="1"/>
        <v>0</v>
      </c>
      <c r="K63" s="295"/>
      <c r="L63" s="505" t="s">
        <v>255</v>
      </c>
      <c r="M63" s="47"/>
    </row>
    <row r="64" spans="2:16" ht="15.75">
      <c r="B64" s="93">
        <f>+B63+1</f>
        <v>188</v>
      </c>
      <c r="C64" s="44"/>
      <c r="D64" s="494" t="s">
        <v>405</v>
      </c>
      <c r="E64" s="41"/>
      <c r="F64" s="29"/>
      <c r="G64" s="505" t="s">
        <v>255</v>
      </c>
      <c r="H64" s="764"/>
      <c r="I64" s="32" t="s">
        <v>722</v>
      </c>
      <c r="J64" s="50">
        <f t="shared" si="1"/>
        <v>0</v>
      </c>
      <c r="K64" s="19"/>
      <c r="L64" s="505" t="s">
        <v>255</v>
      </c>
      <c r="M64" s="47"/>
      <c r="P64" s="588"/>
    </row>
    <row r="65" spans="2:13" ht="15">
      <c r="B65" s="93">
        <f>+B64+1</f>
        <v>189</v>
      </c>
      <c r="C65" s="44"/>
      <c r="D65" s="17" t="s">
        <v>725</v>
      </c>
      <c r="E65" s="29" t="str">
        <f>"(Worksheet A ln "&amp;'KGPCo WS A  - RB Support '!A22&amp;".C)"</f>
        <v>(Worksheet A ln 5.C)</v>
      </c>
      <c r="F65" s="29"/>
      <c r="G65" s="123">
        <f>+'KGPCo WS A  - RB Support '!E22</f>
        <v>109954977</v>
      </c>
      <c r="H65" s="123"/>
      <c r="I65" s="49" t="s">
        <v>722</v>
      </c>
      <c r="J65" s="50">
        <f t="shared" si="1"/>
        <v>0</v>
      </c>
      <c r="K65" s="29"/>
      <c r="L65" s="123">
        <f>+J65*G65</f>
        <v>0</v>
      </c>
      <c r="M65" s="19"/>
    </row>
    <row r="66" spans="2:13" ht="15">
      <c r="B66" s="93">
        <f t="shared" si="0"/>
        <v>190</v>
      </c>
      <c r="C66" s="44"/>
      <c r="D66" s="42" t="s">
        <v>256</v>
      </c>
      <c r="E66" s="29" t="str">
        <f>"(Worksheet A ln "&amp;'KGPCo WS A  - RB Support '!A24&amp;".C)"</f>
        <v>(Worksheet A ln 6.C)</v>
      </c>
      <c r="F66" s="29"/>
      <c r="G66" s="300">
        <f>-+'KGPCo WS A  - RB Support '!E24</f>
        <v>0</v>
      </c>
      <c r="H66" s="123"/>
      <c r="I66" s="49" t="s">
        <v>722</v>
      </c>
      <c r="J66" s="50">
        <f t="shared" si="1"/>
        <v>0</v>
      </c>
      <c r="K66" s="29"/>
      <c r="L66" s="123">
        <f>+G66*J66</f>
        <v>0</v>
      </c>
      <c r="M66" s="19"/>
    </row>
    <row r="67" spans="2:13" ht="15">
      <c r="B67" s="93">
        <f t="shared" si="0"/>
        <v>191</v>
      </c>
      <c r="C67" s="44"/>
      <c r="D67" s="17" t="s">
        <v>726</v>
      </c>
      <c r="E67" s="29" t="str">
        <f>"(Worksheet A ln "&amp;'KGPCo WS A  - RB Support '!A26&amp;".C)"</f>
        <v>(Worksheet A ln 7.C)</v>
      </c>
      <c r="F67" s="29"/>
      <c r="G67" s="123">
        <f>+'KGPCo WS A  - RB Support '!E26</f>
        <v>2451682</v>
      </c>
      <c r="H67" s="123"/>
      <c r="I67" s="49" t="s">
        <v>727</v>
      </c>
      <c r="J67" s="50">
        <f t="shared" si="1"/>
        <v>0.1151916355991698</v>
      </c>
      <c r="K67" s="29"/>
      <c r="L67" s="123">
        <f>+J67*G67</f>
        <v>282413.2595490438</v>
      </c>
      <c r="M67" s="19"/>
    </row>
    <row r="68" spans="2:13" ht="15">
      <c r="B68" s="93">
        <f t="shared" si="0"/>
        <v>192</v>
      </c>
      <c r="C68" s="44"/>
      <c r="D68" s="42" t="s">
        <v>257</v>
      </c>
      <c r="E68" s="29" t="str">
        <f>"(Worksheet A ln "&amp;'KGPCo WS A  - RB Support '!A28&amp;".C)"</f>
        <v>(Worksheet A ln 8.C)</v>
      </c>
      <c r="F68" s="29"/>
      <c r="G68" s="300">
        <f>-'KGPCo WS A  - RB Support '!E28</f>
        <v>0</v>
      </c>
      <c r="H68" s="123"/>
      <c r="I68" s="49" t="s">
        <v>727</v>
      </c>
      <c r="J68" s="50">
        <f t="shared" si="1"/>
        <v>0.1151916355991698</v>
      </c>
      <c r="K68" s="29"/>
      <c r="L68" s="123">
        <f>+G68*J68</f>
        <v>0</v>
      </c>
      <c r="M68" s="19"/>
    </row>
    <row r="69" spans="2:15" ht="15.75" thickBot="1">
      <c r="B69" s="93">
        <f t="shared" si="0"/>
        <v>193</v>
      </c>
      <c r="C69" s="44"/>
      <c r="D69" s="17" t="s">
        <v>728</v>
      </c>
      <c r="E69" s="29" t="str">
        <f>"(Worksheet A ln "&amp;'KGPCo WS A  - RB Support '!A30&amp;".C)"</f>
        <v>(Worksheet A ln 9.C)</v>
      </c>
      <c r="F69" s="29"/>
      <c r="G69" s="124">
        <f>+'KGPCo WS A  - RB Support '!E30</f>
        <v>1127427</v>
      </c>
      <c r="H69" s="123"/>
      <c r="I69" s="49" t="s">
        <v>727</v>
      </c>
      <c r="J69" s="50">
        <f t="shared" si="1"/>
        <v>0.1151916355991698</v>
      </c>
      <c r="K69" s="29"/>
      <c r="L69" s="124">
        <f>+J69*G69</f>
        <v>129870.1601486652</v>
      </c>
      <c r="M69" s="19"/>
      <c r="N69" s="33"/>
      <c r="O69" s="33"/>
    </row>
    <row r="70" spans="2:15" ht="15.75">
      <c r="B70" s="93">
        <f>+B69+1</f>
        <v>194</v>
      </c>
      <c r="C70" s="44"/>
      <c r="D70" s="17" t="s">
        <v>672</v>
      </c>
      <c r="E70" s="20" t="str">
        <f>"(sum lns "&amp;B59&amp;" to "&amp;B69&amp;")"</f>
        <v>(sum lns 183 to 193)</v>
      </c>
      <c r="F70" s="765"/>
      <c r="G70" s="123">
        <f>SUM(G59:G69)</f>
        <v>133798531</v>
      </c>
      <c r="H70" s="123"/>
      <c r="I70" s="309" t="s">
        <v>471</v>
      </c>
      <c r="J70" s="110">
        <f>+L70/G70</f>
        <v>0.15453628874070158</v>
      </c>
      <c r="K70" s="29"/>
      <c r="L70" s="123">
        <f>SUM(L59:L69)</f>
        <v>20676728.41969771</v>
      </c>
      <c r="M70" s="19"/>
      <c r="N70" s="33"/>
      <c r="O70" s="33"/>
    </row>
    <row r="71" spans="2:15" ht="15.75">
      <c r="B71" s="93"/>
      <c r="C71" s="20"/>
      <c r="D71" s="17"/>
      <c r="E71" s="753"/>
      <c r="F71" s="765"/>
      <c r="G71" s="123"/>
      <c r="H71" s="123"/>
      <c r="I71" s="309" t="s">
        <v>24</v>
      </c>
      <c r="J71" s="310">
        <f>+L61/(G65+G61+G66)</f>
        <v>0.15561768504854828</v>
      </c>
      <c r="K71" s="29"/>
      <c r="L71" s="123"/>
      <c r="M71" s="19"/>
      <c r="N71" s="206"/>
      <c r="O71" s="33"/>
    </row>
    <row r="72" spans="2:15" ht="15">
      <c r="B72" s="93">
        <f>+B70+1</f>
        <v>195</v>
      </c>
      <c r="C72" s="20"/>
      <c r="D72" s="17" t="s">
        <v>643</v>
      </c>
      <c r="E72" s="41"/>
      <c r="F72" s="41"/>
      <c r="G72" s="123"/>
      <c r="H72" s="311"/>
      <c r="I72" s="49"/>
      <c r="J72" s="312"/>
      <c r="K72" s="29"/>
      <c r="L72" s="123"/>
      <c r="M72" s="19"/>
      <c r="N72" s="3"/>
      <c r="O72" s="3"/>
    </row>
    <row r="73" spans="2:15" ht="15">
      <c r="B73" s="93">
        <f>+B72+1</f>
        <v>196</v>
      </c>
      <c r="C73" s="20"/>
      <c r="D73" s="42" t="str">
        <f>+D59</f>
        <v>  Production</v>
      </c>
      <c r="E73" s="29" t="str">
        <f>"(Worksheet A ln "&amp;'KGPCo WS A  - RB Support '!A38&amp;".C)"</f>
        <v>(Worksheet A ln 12.C)</v>
      </c>
      <c r="F73" s="29"/>
      <c r="G73" s="123">
        <f>+'KGPCo WS A  - RB Support '!E38</f>
        <v>0</v>
      </c>
      <c r="H73" s="123"/>
      <c r="I73" s="49" t="s">
        <v>722</v>
      </c>
      <c r="J73" s="50">
        <f>VLOOKUP(I73,APCo_Hist_Allocators,2,FALSE)</f>
        <v>0</v>
      </c>
      <c r="K73" s="29"/>
      <c r="L73" s="123">
        <f>+J73*G73</f>
        <v>0</v>
      </c>
      <c r="M73" s="19"/>
      <c r="N73" s="3"/>
      <c r="O73" s="3"/>
    </row>
    <row r="74" spans="2:15" ht="15">
      <c r="B74" s="93">
        <f aca="true" t="shared" si="2" ref="B74:B87">+B73+1</f>
        <v>197</v>
      </c>
      <c r="C74" s="20"/>
      <c r="D74" s="42" t="s">
        <v>258</v>
      </c>
      <c r="E74" s="29" t="str">
        <f>"(Worksheet A ln "&amp;'KGPCo WS A  - RB Support '!A40&amp;".C)"</f>
        <v>(Worksheet A ln 13.C)</v>
      </c>
      <c r="F74" s="29"/>
      <c r="G74" s="300">
        <f>-+'KGPCo WS A  - RB Support '!E40</f>
        <v>0</v>
      </c>
      <c r="H74" s="123"/>
      <c r="I74" s="49" t="s">
        <v>722</v>
      </c>
      <c r="J74" s="50">
        <f>VLOOKUP(I74,APCo_Hist_Allocators,2,FALSE)</f>
        <v>0</v>
      </c>
      <c r="K74" s="29"/>
      <c r="L74" s="123">
        <f>+J74*G74</f>
        <v>0</v>
      </c>
      <c r="M74" s="19"/>
      <c r="N74" s="3"/>
      <c r="O74" s="3"/>
    </row>
    <row r="75" spans="2:15" ht="15.75">
      <c r="B75" s="93">
        <f t="shared" si="2"/>
        <v>198</v>
      </c>
      <c r="C75" s="44"/>
      <c r="D75" s="45" t="str">
        <f>D61</f>
        <v>  Transmission</v>
      </c>
      <c r="E75" s="29" t="s">
        <v>578</v>
      </c>
      <c r="F75" s="46"/>
      <c r="G75" s="302">
        <f>+'KGPCo WS A  - RB Support '!E42</f>
        <v>10204475</v>
      </c>
      <c r="H75" s="123"/>
      <c r="I75" s="313" t="s">
        <v>647</v>
      </c>
      <c r="J75" s="314">
        <f>L75/G75</f>
        <v>1</v>
      </c>
      <c r="K75" s="295"/>
      <c r="L75" s="123">
        <f>+'KGPCo WS A  - RB Support '!E74</f>
        <v>10204475</v>
      </c>
      <c r="M75" s="47"/>
      <c r="N75" s="3"/>
      <c r="O75" s="3"/>
    </row>
    <row r="76" spans="2:15" ht="15.75">
      <c r="B76" s="93">
        <f t="shared" si="2"/>
        <v>199</v>
      </c>
      <c r="C76" s="44"/>
      <c r="D76" s="42" t="s">
        <v>260</v>
      </c>
      <c r="E76" s="29" t="str">
        <f>"(Worksheet A ln "&amp;'KGPCo WS A  - RB Support '!A44&amp;".C)"</f>
        <v>(Worksheet A ln 15.C)</v>
      </c>
      <c r="F76" s="46"/>
      <c r="G76" s="300">
        <f>-'KGPCo WS A  - RB Support '!E44</f>
        <v>0</v>
      </c>
      <c r="H76" s="123"/>
      <c r="I76" s="313" t="s">
        <v>647</v>
      </c>
      <c r="J76" s="50">
        <f>+J75</f>
        <v>1</v>
      </c>
      <c r="K76" s="295"/>
      <c r="L76" s="123">
        <f aca="true" t="shared" si="3" ref="L76:L86">+J76*G76</f>
        <v>0</v>
      </c>
      <c r="M76" s="47"/>
      <c r="N76" s="3"/>
      <c r="O76" s="3"/>
    </row>
    <row r="77" spans="2:15" ht="15.75">
      <c r="B77" s="93">
        <f t="shared" si="2"/>
        <v>200</v>
      </c>
      <c r="C77" s="44"/>
      <c r="D77" s="494" t="s">
        <v>404</v>
      </c>
      <c r="E77" s="46"/>
      <c r="F77" s="46"/>
      <c r="G77" s="505" t="s">
        <v>255</v>
      </c>
      <c r="H77" s="764"/>
      <c r="I77" s="301" t="s">
        <v>724</v>
      </c>
      <c r="J77" s="50">
        <f aca="true" t="shared" si="4" ref="J77:J86">VLOOKUP(I77,APCo_Hist_Allocators,2,FALSE)</f>
        <v>1</v>
      </c>
      <c r="K77" s="295"/>
      <c r="L77" s="505" t="s">
        <v>255</v>
      </c>
      <c r="M77" s="47"/>
      <c r="N77" s="3"/>
      <c r="O77" s="3"/>
    </row>
    <row r="78" spans="2:15" ht="15.75">
      <c r="B78" s="93">
        <f t="shared" si="2"/>
        <v>201</v>
      </c>
      <c r="C78" s="44"/>
      <c r="D78" s="494" t="s">
        <v>407</v>
      </c>
      <c r="E78" s="46"/>
      <c r="F78" s="46"/>
      <c r="G78" s="505" t="s">
        <v>255</v>
      </c>
      <c r="H78" s="764"/>
      <c r="I78" s="301" t="s">
        <v>724</v>
      </c>
      <c r="J78" s="50">
        <f t="shared" si="4"/>
        <v>1</v>
      </c>
      <c r="K78" s="295"/>
      <c r="L78" s="505" t="s">
        <v>255</v>
      </c>
      <c r="M78" s="47"/>
      <c r="N78" s="3"/>
      <c r="O78" s="3"/>
    </row>
    <row r="79" spans="2:15" ht="15.75">
      <c r="B79" s="93">
        <f t="shared" si="2"/>
        <v>202</v>
      </c>
      <c r="C79" s="44"/>
      <c r="D79" s="494" t="str">
        <f>"     Plus: Additional Transmission Depreciation for "&amp;O1+1&amp;"  (ln "&amp;B178&amp;")"</f>
        <v>     Plus: Additional Transmission Depreciation for 2012  (ln 276)</v>
      </c>
      <c r="E79" s="46"/>
      <c r="F79" s="46"/>
      <c r="G79" s="505" t="s">
        <v>255</v>
      </c>
      <c r="H79" s="764"/>
      <c r="I79" s="584" t="s">
        <v>646</v>
      </c>
      <c r="J79" s="50">
        <f t="shared" si="4"/>
        <v>1</v>
      </c>
      <c r="K79" s="295"/>
      <c r="L79" s="505" t="s">
        <v>255</v>
      </c>
      <c r="M79" s="47"/>
      <c r="N79" s="3"/>
      <c r="O79" s="3"/>
    </row>
    <row r="80" spans="2:15" ht="15.75">
      <c r="B80" s="93">
        <f t="shared" si="2"/>
        <v>203</v>
      </c>
      <c r="C80" s="44"/>
      <c r="D80" s="495" t="str">
        <f>"     Plus: Additional General &amp; Intangible Depreciation for "&amp;O1+1&amp;" (ln "&amp;B177&amp;" + ln "&amp;B178&amp;")"</f>
        <v>     Plus: Additional General &amp; Intangible Depreciation for 2012 (ln 275 + ln 276)</v>
      </c>
      <c r="E80" s="46"/>
      <c r="F80" s="46"/>
      <c r="G80" s="505" t="s">
        <v>255</v>
      </c>
      <c r="H80" s="764"/>
      <c r="I80" s="301" t="s">
        <v>727</v>
      </c>
      <c r="J80" s="50">
        <f t="shared" si="4"/>
        <v>0.1151916355991698</v>
      </c>
      <c r="K80" s="295"/>
      <c r="L80" s="505" t="s">
        <v>255</v>
      </c>
      <c r="M80" s="47"/>
      <c r="N80" s="3"/>
      <c r="O80" s="3"/>
    </row>
    <row r="81" spans="2:15" ht="15.75">
      <c r="B81" s="93">
        <f t="shared" si="2"/>
        <v>204</v>
      </c>
      <c r="C81" s="44"/>
      <c r="D81" s="494" t="s">
        <v>406</v>
      </c>
      <c r="E81" s="46"/>
      <c r="F81" s="46"/>
      <c r="G81" s="505" t="s">
        <v>255</v>
      </c>
      <c r="H81" s="764"/>
      <c r="I81" s="301" t="s">
        <v>724</v>
      </c>
      <c r="J81" s="50">
        <f t="shared" si="4"/>
        <v>1</v>
      </c>
      <c r="K81" s="295"/>
      <c r="L81" s="505" t="s">
        <v>255</v>
      </c>
      <c r="M81" s="47"/>
      <c r="N81" s="3"/>
      <c r="O81" s="3"/>
    </row>
    <row r="82" spans="2:15" ht="15">
      <c r="B82" s="93">
        <f t="shared" si="2"/>
        <v>205</v>
      </c>
      <c r="C82" s="44"/>
      <c r="D82" s="17" t="str">
        <f>+D65</f>
        <v>  Distribution</v>
      </c>
      <c r="E82" s="29" t="str">
        <f>"(Worksheet A ln "&amp;'KGPCo WS A  - RB Support '!A46&amp;".C)"</f>
        <v>(Worksheet A ln 16.C)</v>
      </c>
      <c r="F82" s="29"/>
      <c r="G82" s="123">
        <f>+'KGPCo WS A  - RB Support '!E46</f>
        <v>42425418</v>
      </c>
      <c r="H82" s="123"/>
      <c r="I82" s="49" t="s">
        <v>722</v>
      </c>
      <c r="J82" s="50">
        <f t="shared" si="4"/>
        <v>0</v>
      </c>
      <c r="K82" s="29"/>
      <c r="L82" s="123">
        <f t="shared" si="3"/>
        <v>0</v>
      </c>
      <c r="M82" s="19"/>
      <c r="N82" s="3"/>
      <c r="O82" s="3"/>
    </row>
    <row r="83" spans="2:15" ht="15">
      <c r="B83" s="93">
        <f t="shared" si="2"/>
        <v>206</v>
      </c>
      <c r="C83" s="44"/>
      <c r="D83" s="42" t="s">
        <v>256</v>
      </c>
      <c r="E83" s="29" t="str">
        <f>"(Worksheet A ln "&amp;'KGPCo WS A  - RB Support '!A48&amp;".C)"</f>
        <v>(Worksheet A ln 17.C)</v>
      </c>
      <c r="F83" s="29"/>
      <c r="G83" s="300">
        <f>-'KGPCo WS A  - RB Support '!E48</f>
        <v>0</v>
      </c>
      <c r="H83" s="123"/>
      <c r="I83" s="49" t="s">
        <v>722</v>
      </c>
      <c r="J83" s="50">
        <f t="shared" si="4"/>
        <v>0</v>
      </c>
      <c r="K83" s="29"/>
      <c r="L83" s="123">
        <f t="shared" si="3"/>
        <v>0</v>
      </c>
      <c r="M83" s="19"/>
      <c r="N83" s="3"/>
      <c r="O83" s="3"/>
    </row>
    <row r="84" spans="2:15" ht="15">
      <c r="B84" s="93">
        <f t="shared" si="2"/>
        <v>207</v>
      </c>
      <c r="C84" s="212"/>
      <c r="D84" s="57" t="str">
        <f>+D67</f>
        <v>  General Plant   </v>
      </c>
      <c r="E84" s="29" t="str">
        <f>"(Worksheet A ln "&amp;'KGPCo WS A  - RB Support '!A50&amp;".C)"</f>
        <v>(Worksheet A ln 18.C)</v>
      </c>
      <c r="F84" s="29"/>
      <c r="G84" s="130">
        <f>+'KGPCo WS A  - RB Support '!E50</f>
        <v>661283</v>
      </c>
      <c r="H84" s="123"/>
      <c r="I84" s="49" t="s">
        <v>727</v>
      </c>
      <c r="J84" s="50">
        <f t="shared" si="4"/>
        <v>0.1151916355991698</v>
      </c>
      <c r="K84" s="29"/>
      <c r="L84" s="123">
        <f t="shared" si="3"/>
        <v>76174.2703639258</v>
      </c>
      <c r="M84" s="19"/>
      <c r="N84" s="3"/>
      <c r="O84" s="3"/>
    </row>
    <row r="85" spans="2:15" ht="15">
      <c r="B85" s="93">
        <f t="shared" si="2"/>
        <v>208</v>
      </c>
      <c r="C85" s="212"/>
      <c r="D85" s="42" t="s">
        <v>257</v>
      </c>
      <c r="E85" s="29" t="str">
        <f>"(Worksheet A ln "&amp;'KGPCo WS A  - RB Support '!A52&amp;".C)"</f>
        <v>(Worksheet A ln 19.C)</v>
      </c>
      <c r="F85" s="29"/>
      <c r="G85" s="300">
        <f>-'KGPCo WS A  - RB Support '!E52</f>
        <v>0</v>
      </c>
      <c r="H85" s="123"/>
      <c r="I85" s="49" t="s">
        <v>727</v>
      </c>
      <c r="J85" s="50">
        <f t="shared" si="4"/>
        <v>0.1151916355991698</v>
      </c>
      <c r="K85" s="29"/>
      <c r="L85" s="123">
        <f t="shared" si="3"/>
        <v>0</v>
      </c>
      <c r="M85" s="19"/>
      <c r="N85" s="3"/>
      <c r="O85" s="3"/>
    </row>
    <row r="86" spans="2:15" ht="15.75" thickBot="1">
      <c r="B86" s="93">
        <f t="shared" si="2"/>
        <v>209</v>
      </c>
      <c r="C86" s="212"/>
      <c r="D86" s="57" t="str">
        <f>+D69</f>
        <v>  Intangible Plant</v>
      </c>
      <c r="E86" s="29" t="str">
        <f>"(Worksheet A ln "&amp;'KGPCo WS A  - RB Support '!A54&amp;".C)"</f>
        <v>(Worksheet A ln 20.C)</v>
      </c>
      <c r="F86" s="29"/>
      <c r="G86" s="124">
        <f>+'KGPCo WS A  - RB Support '!E54</f>
        <v>1473219</v>
      </c>
      <c r="H86" s="123"/>
      <c r="I86" s="49" t="s">
        <v>727</v>
      </c>
      <c r="J86" s="50">
        <f t="shared" si="4"/>
        <v>0.1151916355991698</v>
      </c>
      <c r="K86" s="29"/>
      <c r="L86" s="124">
        <f t="shared" si="3"/>
        <v>169702.50620577333</v>
      </c>
      <c r="M86" s="29"/>
      <c r="N86" s="3"/>
      <c r="O86" s="3"/>
    </row>
    <row r="87" spans="2:15" ht="15">
      <c r="B87" s="93">
        <f t="shared" si="2"/>
        <v>210</v>
      </c>
      <c r="C87" s="212"/>
      <c r="D87" s="57" t="s">
        <v>671</v>
      </c>
      <c r="E87" s="266" t="str">
        <f>"(sum lns "&amp;B73&amp;" to "&amp;B86&amp;")"</f>
        <v>(sum lns 196 to 209)</v>
      </c>
      <c r="F87" s="752"/>
      <c r="G87" s="123">
        <f>SUM(G73:G86)</f>
        <v>54764395</v>
      </c>
      <c r="H87" s="123"/>
      <c r="I87" s="49"/>
      <c r="J87" s="29"/>
      <c r="K87" s="123"/>
      <c r="L87" s="123">
        <f>SUM(L73:L86)</f>
        <v>10450351.776569698</v>
      </c>
      <c r="M87" s="19"/>
      <c r="N87" s="3"/>
      <c r="O87" s="3"/>
    </row>
    <row r="88" spans="2:15" ht="15">
      <c r="B88" s="93"/>
      <c r="C88" s="20"/>
      <c r="D88" s="13"/>
      <c r="E88" s="766"/>
      <c r="F88" s="752"/>
      <c r="G88" s="123"/>
      <c r="H88" s="123"/>
      <c r="I88" s="49"/>
      <c r="J88" s="315"/>
      <c r="K88" s="29"/>
      <c r="L88" s="123"/>
      <c r="M88" s="19"/>
      <c r="N88" s="3"/>
      <c r="O88" s="3"/>
    </row>
    <row r="89" spans="2:15" ht="15">
      <c r="B89" s="93">
        <f>+B87+1</f>
        <v>211</v>
      </c>
      <c r="C89" s="20"/>
      <c r="D89" s="17" t="s">
        <v>675</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6"/>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10059970</v>
      </c>
      <c r="H91" s="123"/>
      <c r="I91" s="49"/>
      <c r="J91" s="314"/>
      <c r="K91" s="29"/>
      <c r="L91" s="123">
        <f>+L61+L62-L75-L76</f>
        <v>10059970</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505" t="s">
        <v>255</v>
      </c>
      <c r="H92" s="108"/>
      <c r="I92" s="32"/>
      <c r="J92" s="43"/>
      <c r="K92" s="19"/>
      <c r="L92" s="505" t="s">
        <v>255</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505" t="s">
        <v>255</v>
      </c>
      <c r="H93" s="108"/>
      <c r="I93" s="32"/>
      <c r="J93" s="43"/>
      <c r="K93" s="19"/>
      <c r="L93" s="505" t="s">
        <v>255</v>
      </c>
      <c r="M93" s="19"/>
      <c r="N93" s="3"/>
      <c r="O93" s="3"/>
    </row>
    <row r="94" spans="2:15" ht="15.75">
      <c r="B94" s="93">
        <f t="shared" si="6"/>
        <v>216</v>
      </c>
      <c r="C94" s="44"/>
      <c r="D94" s="494" t="str">
        <f>"     Plus: Additional Transmission Depreciation for "&amp;O1+1&amp;"  (-ln "&amp;B79&amp;")"</f>
        <v>     Plus: Additional Transmission Depreciation for 2012  (-ln 202)</v>
      </c>
      <c r="E94" s="29"/>
      <c r="F94" s="29"/>
      <c r="G94" s="505" t="s">
        <v>255</v>
      </c>
      <c r="H94" s="108"/>
      <c r="I94" s="32"/>
      <c r="J94" s="43"/>
      <c r="K94" s="19"/>
      <c r="L94" s="505" t="s">
        <v>255</v>
      </c>
      <c r="M94" s="19"/>
      <c r="N94" s="3"/>
      <c r="O94" s="3"/>
    </row>
    <row r="95" spans="2:15" ht="15.75">
      <c r="B95" s="93">
        <f t="shared" si="6"/>
        <v>217</v>
      </c>
      <c r="C95" s="44"/>
      <c r="D95" s="495" t="str">
        <f>"     Plus: Additional General &amp; Intangible Depreciation for "&amp;O1+1&amp;" (-ln "&amp;B80&amp;")"</f>
        <v>     Plus: Additional General &amp; Intangible Depreciation for 2012 (-ln 203)</v>
      </c>
      <c r="E95" s="29"/>
      <c r="F95" s="29"/>
      <c r="G95" s="505" t="s">
        <v>255</v>
      </c>
      <c r="H95" s="108"/>
      <c r="I95" s="32"/>
      <c r="J95" s="43"/>
      <c r="K95" s="19"/>
      <c r="L95" s="505" t="s">
        <v>255</v>
      </c>
      <c r="M95" s="19"/>
      <c r="N95" s="3"/>
      <c r="O95" s="3"/>
    </row>
    <row r="96" spans="2:15" ht="15.75">
      <c r="B96" s="93">
        <f t="shared" si="6"/>
        <v>218</v>
      </c>
      <c r="C96" s="44"/>
      <c r="D96" s="494" t="str">
        <f>"     Plus: Additional Accum Deprec on Transferred Assets (Worksheet I) (-ln "&amp;B81&amp;")"</f>
        <v>     Plus: Additional Accum Deprec on Transferred Assets (Worksheet I) (-ln 204)</v>
      </c>
      <c r="E96" s="29"/>
      <c r="F96" s="29"/>
      <c r="G96" s="505" t="s">
        <v>255</v>
      </c>
      <c r="H96" s="108"/>
      <c r="I96" s="32"/>
      <c r="J96" s="43"/>
      <c r="K96" s="19"/>
      <c r="L96" s="505" t="s">
        <v>255</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67529559</v>
      </c>
      <c r="H97" s="123"/>
      <c r="I97" s="49"/>
      <c r="J97" s="315"/>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1790399</v>
      </c>
      <c r="H98" s="123"/>
      <c r="I98" s="49"/>
      <c r="J98" s="315"/>
      <c r="K98" s="29"/>
      <c r="L98" s="123">
        <f>+L67+L68-L84-L85</f>
        <v>206238.989185118</v>
      </c>
      <c r="M98" s="19"/>
      <c r="N98" s="3"/>
      <c r="O98" s="3"/>
    </row>
    <row r="99" spans="2:15" ht="15.75" thickBot="1">
      <c r="B99" s="93">
        <f t="shared" si="5"/>
        <v>221</v>
      </c>
      <c r="C99" s="44"/>
      <c r="D99" s="42" t="str">
        <f>+D86</f>
        <v>  Intangible Plant</v>
      </c>
      <c r="E99" s="29" t="str">
        <f>" (ln "&amp;B69&amp;" - ln "&amp;B86&amp;")"</f>
        <v> (ln 193 - ln 209)</v>
      </c>
      <c r="F99" s="29"/>
      <c r="G99" s="124">
        <f>+G69-G86</f>
        <v>-345792</v>
      </c>
      <c r="H99" s="123"/>
      <c r="I99" s="49"/>
      <c r="J99" s="315"/>
      <c r="K99" s="29"/>
      <c r="L99" s="124">
        <f>+L69-L86</f>
        <v>-39832.34605710812</v>
      </c>
      <c r="M99" s="19"/>
      <c r="N99" s="3"/>
      <c r="O99" s="3"/>
    </row>
    <row r="100" spans="2:15" ht="15.75">
      <c r="B100" s="93">
        <f t="shared" si="5"/>
        <v>222</v>
      </c>
      <c r="C100" s="44"/>
      <c r="D100" s="42" t="s">
        <v>670</v>
      </c>
      <c r="E100" s="42" t="str">
        <f>"(sum lns "&amp;B90&amp;" to "&amp;B99&amp;")"</f>
        <v>(sum lns 212 to 221)</v>
      </c>
      <c r="F100" s="29"/>
      <c r="G100" s="123">
        <f>SUM(G90:G99)</f>
        <v>79034136</v>
      </c>
      <c r="H100" s="123"/>
      <c r="I100" s="265" t="s">
        <v>470</v>
      </c>
      <c r="J100" s="110">
        <f>+L100/G100</f>
        <v>0.12939189520750893</v>
      </c>
      <c r="K100" s="29"/>
      <c r="L100" s="123">
        <f>SUM(L91:L99)</f>
        <v>10226376.64312801</v>
      </c>
      <c r="M100" s="19"/>
      <c r="N100" s="3"/>
      <c r="O100" s="3"/>
    </row>
    <row r="101" spans="2:15" ht="15">
      <c r="B101" s="93"/>
      <c r="C101" s="20"/>
      <c r="D101" s="17"/>
      <c r="E101" s="29"/>
      <c r="F101" s="29"/>
      <c r="G101" s="123"/>
      <c r="H101" s="123"/>
      <c r="I101" s="15"/>
      <c r="J101" s="317"/>
      <c r="K101" s="29"/>
      <c r="L101" s="123"/>
      <c r="M101" s="19"/>
      <c r="N101" s="3"/>
      <c r="O101" s="3"/>
    </row>
    <row r="102" spans="2:15" ht="15">
      <c r="B102" s="93"/>
      <c r="C102" s="20"/>
      <c r="D102" s="13"/>
      <c r="G102" s="764"/>
      <c r="H102" s="764"/>
      <c r="I102" s="764"/>
      <c r="J102" s="764"/>
      <c r="K102" s="764"/>
      <c r="L102" s="764"/>
      <c r="M102"/>
      <c r="N102" s="3"/>
      <c r="O102" s="3"/>
    </row>
    <row r="103" spans="2:15" ht="15">
      <c r="B103" s="93">
        <f>+B100+1</f>
        <v>223</v>
      </c>
      <c r="C103" s="20"/>
      <c r="D103" s="17" t="s">
        <v>180</v>
      </c>
      <c r="E103" s="29" t="s">
        <v>158</v>
      </c>
      <c r="F103" s="49"/>
      <c r="G103" s="764"/>
      <c r="H103" s="764"/>
      <c r="I103" s="764"/>
      <c r="J103" s="764"/>
      <c r="K103" s="764"/>
      <c r="L103" s="764"/>
      <c r="M103"/>
      <c r="N103" s="3"/>
      <c r="O103" s="3"/>
    </row>
    <row r="104" spans="2:15" ht="15">
      <c r="B104" s="93">
        <f aca="true" t="shared" si="7" ref="B104:B109">+B103+1</f>
        <v>224</v>
      </c>
      <c r="C104" s="44"/>
      <c r="D104" s="61" t="s">
        <v>867</v>
      </c>
      <c r="E104" s="29" t="s">
        <v>589</v>
      </c>
      <c r="F104" s="29"/>
      <c r="G104" s="123">
        <f>-'KGPCo WS B ADIT &amp; ITC'!E15</f>
        <v>0</v>
      </c>
      <c r="H104" s="123"/>
      <c r="I104" s="49" t="s">
        <v>722</v>
      </c>
      <c r="J104" s="50"/>
      <c r="K104" s="29"/>
      <c r="L104" s="123">
        <f>-'KGPCo WS B ADIT &amp; ITC'!E18</f>
        <v>0</v>
      </c>
      <c r="M104" s="19"/>
      <c r="N104" s="3"/>
      <c r="O104" s="3"/>
    </row>
    <row r="105" spans="2:15" ht="15">
      <c r="B105" s="93">
        <f t="shared" si="7"/>
        <v>225</v>
      </c>
      <c r="C105" s="44"/>
      <c r="D105" s="61" t="s">
        <v>870</v>
      </c>
      <c r="E105" s="29" t="s">
        <v>590</v>
      </c>
      <c r="F105" s="29"/>
      <c r="G105" s="123">
        <f>-'KGPCo WS B ADIT &amp; ITC'!E23</f>
        <v>-15192403</v>
      </c>
      <c r="H105" s="123"/>
      <c r="I105" s="49" t="s">
        <v>724</v>
      </c>
      <c r="J105" s="50"/>
      <c r="K105" s="29"/>
      <c r="L105" s="123">
        <f>-'KGPCo WS B ADIT &amp; ITC'!E26</f>
        <v>-2584618</v>
      </c>
      <c r="M105" s="19"/>
      <c r="N105" s="3"/>
      <c r="O105" s="3"/>
    </row>
    <row r="106" spans="2:15" ht="15">
      <c r="B106" s="93">
        <f t="shared" si="7"/>
        <v>226</v>
      </c>
      <c r="C106" s="44"/>
      <c r="D106" s="61" t="s">
        <v>871</v>
      </c>
      <c r="E106" s="29" t="s">
        <v>591</v>
      </c>
      <c r="F106" s="29"/>
      <c r="G106" s="123">
        <f>-'KGPCo WS B ADIT &amp; ITC'!E31</f>
        <v>-1803691</v>
      </c>
      <c r="H106" s="123"/>
      <c r="I106" s="49" t="s">
        <v>724</v>
      </c>
      <c r="J106" s="50"/>
      <c r="K106" s="29"/>
      <c r="L106" s="123">
        <f>-'KGPCo WS B ADIT &amp; ITC'!E34</f>
        <v>-247484</v>
      </c>
      <c r="M106" s="19"/>
      <c r="N106" s="3"/>
      <c r="O106" s="3"/>
    </row>
    <row r="107" spans="2:15" ht="15">
      <c r="B107" s="93">
        <f t="shared" si="7"/>
        <v>227</v>
      </c>
      <c r="C107" s="44"/>
      <c r="D107" s="61" t="s">
        <v>872</v>
      </c>
      <c r="E107" s="29" t="s">
        <v>592</v>
      </c>
      <c r="F107" s="29"/>
      <c r="G107" s="123">
        <f>+'KGPCo WS B ADIT &amp; ITC'!E39</f>
        <v>960179</v>
      </c>
      <c r="H107" s="123"/>
      <c r="I107" s="49" t="s">
        <v>724</v>
      </c>
      <c r="J107" s="50"/>
      <c r="K107" s="29"/>
      <c r="L107" s="123">
        <f>+'KGPCo WS B ADIT &amp; ITC'!E42</f>
        <v>116792</v>
      </c>
      <c r="M107" s="19"/>
      <c r="N107" s="3"/>
      <c r="O107" s="3"/>
    </row>
    <row r="108" spans="2:15" ht="15.75" thickBot="1">
      <c r="B108" s="93">
        <f t="shared" si="7"/>
        <v>228</v>
      </c>
      <c r="C108" s="44"/>
      <c r="D108" s="51" t="s">
        <v>729</v>
      </c>
      <c r="E108" s="29" t="s">
        <v>593</v>
      </c>
      <c r="F108" s="15"/>
      <c r="G108" s="124">
        <f>-+'KGPCo WS B ADIT &amp; ITC'!E49</f>
        <v>-107557</v>
      </c>
      <c r="H108" s="123"/>
      <c r="I108" s="49" t="s">
        <v>724</v>
      </c>
      <c r="J108" s="50"/>
      <c r="K108" s="29"/>
      <c r="L108" s="124">
        <f>-+'KGPCo WS B ADIT &amp; ITC'!E50</f>
        <v>-22844</v>
      </c>
      <c r="M108" s="52"/>
      <c r="N108" s="3"/>
      <c r="O108" s="3"/>
    </row>
    <row r="109" spans="2:14" ht="15">
      <c r="B109" s="93">
        <f t="shared" si="7"/>
        <v>229</v>
      </c>
      <c r="C109" s="44"/>
      <c r="D109" s="42" t="s">
        <v>684</v>
      </c>
      <c r="E109" s="42" t="str">
        <f>"(sum lns "&amp;B104&amp;" to "&amp;B108&amp;")"</f>
        <v>(sum lns 224 to 228)</v>
      </c>
      <c r="F109" s="29"/>
      <c r="G109" s="123">
        <f>SUM(G104:G108)</f>
        <v>-16143472</v>
      </c>
      <c r="H109" s="262"/>
      <c r="I109" s="49"/>
      <c r="J109" s="318"/>
      <c r="K109" s="29"/>
      <c r="L109" s="123">
        <f>SUM(L104:L108)</f>
        <v>-2738154</v>
      </c>
      <c r="M109" s="19"/>
      <c r="N109" s="53"/>
    </row>
    <row r="110" spans="2:13" ht="15">
      <c r="B110" s="93"/>
      <c r="C110" s="20"/>
      <c r="D110" s="42"/>
      <c r="E110" s="29"/>
      <c r="F110" s="29"/>
      <c r="G110" s="123"/>
      <c r="H110" s="262"/>
      <c r="I110" s="49"/>
      <c r="J110" s="315"/>
      <c r="K110" s="29"/>
      <c r="L110" s="123"/>
      <c r="M110" s="19"/>
    </row>
    <row r="111" spans="2:13" ht="15">
      <c r="B111" s="93">
        <f>+B109+1</f>
        <v>230</v>
      </c>
      <c r="C111" s="20"/>
      <c r="D111" s="42" t="s">
        <v>887</v>
      </c>
      <c r="E111" s="29" t="str">
        <f>"(Worksheet A ln "&amp;'KGPCo WS A  - RB Support '!A78&amp;".C &amp; ln "&amp;'KGPCo WS A  - RB Support '!A80&amp;".C)"</f>
        <v>(Worksheet A ln 29.C &amp; ln 30.C)</v>
      </c>
      <c r="F111" s="29"/>
      <c r="G111" s="123">
        <f>+'KGPCo WS A  - RB Support '!E78</f>
        <v>246973.16</v>
      </c>
      <c r="H111" s="262"/>
      <c r="I111" s="49" t="s">
        <v>724</v>
      </c>
      <c r="J111" s="50"/>
      <c r="K111" s="29"/>
      <c r="L111" s="123">
        <f>+'KGPCo WS A  - RB Support '!E80</f>
        <v>0</v>
      </c>
      <c r="M111" s="19"/>
    </row>
    <row r="112" spans="2:13" ht="15">
      <c r="B112" s="93"/>
      <c r="C112" s="20"/>
      <c r="D112" s="42"/>
      <c r="E112" s="29"/>
      <c r="F112" s="29"/>
      <c r="G112" s="123"/>
      <c r="H112" s="262"/>
      <c r="I112" s="49"/>
      <c r="J112" s="50"/>
      <c r="K112" s="29"/>
      <c r="L112" s="123"/>
      <c r="M112" s="19"/>
    </row>
    <row r="113" spans="2:14" ht="15">
      <c r="B113" s="93">
        <f>+B111+1</f>
        <v>231</v>
      </c>
      <c r="C113" s="81"/>
      <c r="D113" s="61" t="s">
        <v>181</v>
      </c>
      <c r="E113" s="29" t="str">
        <f>"(Worksheet A ln "&amp;'KGPCo WS A  - RB Support '!A89&amp;". "&amp;'KGPCo WS A  - RB Support '!E6&amp;")"</f>
        <v>(Worksheet A ln 36. (C))</v>
      </c>
      <c r="F113" s="29"/>
      <c r="G113" s="123">
        <f>+'KGPCo WS A  - RB Support '!E89</f>
        <v>0</v>
      </c>
      <c r="H113" s="262"/>
      <c r="I113" s="49" t="s">
        <v>724</v>
      </c>
      <c r="J113" s="29"/>
      <c r="K113" s="29"/>
      <c r="L113" s="123">
        <f>+G113</f>
        <v>0</v>
      </c>
      <c r="M113" s="29"/>
      <c r="N113" s="59"/>
    </row>
    <row r="114" spans="2:13" ht="15">
      <c r="B114" s="93"/>
      <c r="C114" s="20"/>
      <c r="D114" s="42"/>
      <c r="E114" s="29"/>
      <c r="F114" s="29"/>
      <c r="G114" s="123"/>
      <c r="H114" s="262"/>
      <c r="I114" s="49"/>
      <c r="J114" s="29"/>
      <c r="K114" s="29"/>
      <c r="L114" s="123"/>
      <c r="M114" s="19"/>
    </row>
    <row r="115" spans="2:13" ht="15">
      <c r="B115" s="93">
        <f>+B113+1</f>
        <v>232</v>
      </c>
      <c r="C115" s="20"/>
      <c r="D115" s="42" t="s">
        <v>685</v>
      </c>
      <c r="E115" s="29" t="s">
        <v>446</v>
      </c>
      <c r="F115" s="29"/>
      <c r="G115" s="123"/>
      <c r="H115" s="262"/>
      <c r="I115" s="49"/>
      <c r="J115" s="29"/>
      <c r="K115" s="29"/>
      <c r="L115" s="123"/>
      <c r="M115" s="19"/>
    </row>
    <row r="116" spans="2:13" ht="15">
      <c r="B116" s="93">
        <f aca="true" t="shared" si="8" ref="B116:B124">+B115+1</f>
        <v>233</v>
      </c>
      <c r="C116" s="44"/>
      <c r="D116" s="42" t="s">
        <v>886</v>
      </c>
      <c r="E116" s="15" t="str">
        <f>"(1/8 * ln "&amp;B152&amp;")"</f>
        <v>(1/8 * ln 253)</v>
      </c>
      <c r="F116" s="15"/>
      <c r="G116" s="123">
        <f>+G152/8</f>
        <v>53459.14125</v>
      </c>
      <c r="H116" s="29"/>
      <c r="I116" s="49"/>
      <c r="J116" s="315"/>
      <c r="K116" s="29"/>
      <c r="L116" s="123">
        <f>+L152/8</f>
        <v>53459.14125</v>
      </c>
      <c r="M116" s="18"/>
    </row>
    <row r="117" spans="2:13" ht="15">
      <c r="B117" s="93">
        <f t="shared" si="8"/>
        <v>234</v>
      </c>
      <c r="C117" s="212"/>
      <c r="D117" s="42" t="s">
        <v>189</v>
      </c>
      <c r="E117" s="29" t="s">
        <v>371</v>
      </c>
      <c r="F117" s="29"/>
      <c r="G117" s="123">
        <f>+'KGPCo WS C  - Working Capital'!E15</f>
        <v>1059</v>
      </c>
      <c r="H117" s="764"/>
      <c r="I117" s="32" t="s">
        <v>715</v>
      </c>
      <c r="J117" s="50">
        <f aca="true" t="shared" si="9" ref="J117:J123">VLOOKUP(I117,APCo_Hist_Allocators,2,FALSE)</f>
        <v>1</v>
      </c>
      <c r="K117" s="19"/>
      <c r="L117" s="108">
        <f>+J117*G117</f>
        <v>1059</v>
      </c>
      <c r="M117" s="29"/>
    </row>
    <row r="118" spans="2:13" ht="15">
      <c r="B118" s="93">
        <f t="shared" si="8"/>
        <v>235</v>
      </c>
      <c r="C118" s="212"/>
      <c r="D118" s="42" t="s">
        <v>190</v>
      </c>
      <c r="E118" s="29" t="s">
        <v>372</v>
      </c>
      <c r="F118" s="29"/>
      <c r="G118" s="123">
        <f>+'KGPCo WS C  - Working Capital'!E17</f>
        <v>110</v>
      </c>
      <c r="H118" s="764"/>
      <c r="I118" s="32" t="s">
        <v>727</v>
      </c>
      <c r="J118" s="50">
        <f t="shared" si="9"/>
        <v>0.1151916355991698</v>
      </c>
      <c r="K118" s="19"/>
      <c r="L118" s="108">
        <f>+J118*G118</f>
        <v>12.671079915908678</v>
      </c>
      <c r="M118" s="29"/>
    </row>
    <row r="119" spans="2:13" ht="15">
      <c r="B119" s="93">
        <f t="shared" si="8"/>
        <v>236</v>
      </c>
      <c r="C119" s="212"/>
      <c r="D119" s="42" t="s">
        <v>504</v>
      </c>
      <c r="E119" s="29" t="s">
        <v>594</v>
      </c>
      <c r="F119" s="29"/>
      <c r="G119" s="123">
        <f>+'KGPCo WS C  - Working Capital'!E19</f>
        <v>0</v>
      </c>
      <c r="H119" s="764"/>
      <c r="I119" s="32" t="s">
        <v>191</v>
      </c>
      <c r="J119" s="50">
        <f t="shared" si="9"/>
        <v>0.15453628874070158</v>
      </c>
      <c r="K119" s="19"/>
      <c r="L119" s="108">
        <f>+J119*G119</f>
        <v>0</v>
      </c>
      <c r="M119" s="29"/>
    </row>
    <row r="120" spans="2:13" ht="15">
      <c r="B120" s="93">
        <f t="shared" si="8"/>
        <v>237</v>
      </c>
      <c r="C120" s="212"/>
      <c r="D120" s="61" t="s">
        <v>16</v>
      </c>
      <c r="E120" s="29" t="s">
        <v>595</v>
      </c>
      <c r="F120" s="29"/>
      <c r="G120" s="123">
        <f>+'KGPCo WS C  - Working Capital'!J27</f>
        <v>5420740</v>
      </c>
      <c r="H120" s="262"/>
      <c r="I120" s="49" t="s">
        <v>727</v>
      </c>
      <c r="J120" s="50">
        <f t="shared" si="9"/>
        <v>0.1151916355991698</v>
      </c>
      <c r="K120" s="29"/>
      <c r="L120" s="123">
        <f>+J120*G120</f>
        <v>624423.9067578437</v>
      </c>
      <c r="M120" s="29"/>
    </row>
    <row r="121" spans="2:13" ht="15">
      <c r="B121" s="93">
        <f t="shared" si="8"/>
        <v>238</v>
      </c>
      <c r="C121" s="44"/>
      <c r="D121" s="42" t="s">
        <v>17</v>
      </c>
      <c r="E121" s="29" t="s">
        <v>596</v>
      </c>
      <c r="F121" s="29"/>
      <c r="G121" s="123">
        <f>+'KGPCo WS C  - Working Capital'!I27</f>
        <v>132556</v>
      </c>
      <c r="H121" s="262"/>
      <c r="I121" s="49" t="s">
        <v>191</v>
      </c>
      <c r="J121" s="50">
        <f t="shared" si="9"/>
        <v>0.15453628874070158</v>
      </c>
      <c r="K121" s="29"/>
      <c r="L121" s="123">
        <f>+G121*J121</f>
        <v>20484.71229031244</v>
      </c>
      <c r="M121" s="29"/>
    </row>
    <row r="122" spans="2:13" ht="15">
      <c r="B122" s="93">
        <f t="shared" si="8"/>
        <v>239</v>
      </c>
      <c r="C122" s="44"/>
      <c r="D122" s="42" t="s">
        <v>160</v>
      </c>
      <c r="E122" s="29" t="s">
        <v>597</v>
      </c>
      <c r="F122" s="29"/>
      <c r="G122" s="123">
        <f>+'KGPCo WS C  - Working Capital'!G27</f>
        <v>0</v>
      </c>
      <c r="H122" s="262"/>
      <c r="I122" s="49" t="s">
        <v>724</v>
      </c>
      <c r="J122" s="50">
        <f t="shared" si="9"/>
        <v>1</v>
      </c>
      <c r="K122" s="29"/>
      <c r="L122" s="123">
        <f>+G122</f>
        <v>0</v>
      </c>
      <c r="M122" s="29"/>
    </row>
    <row r="123" spans="2:13" ht="15.75" thickBot="1">
      <c r="B123" s="93">
        <f t="shared" si="8"/>
        <v>240</v>
      </c>
      <c r="C123" s="44"/>
      <c r="D123" s="42" t="s">
        <v>699</v>
      </c>
      <c r="E123" s="29" t="s">
        <v>598</v>
      </c>
      <c r="F123" s="29"/>
      <c r="G123" s="124">
        <f>+'KGPCo WS C  - Working Capital'!E27</f>
        <v>-3449377</v>
      </c>
      <c r="H123" s="123"/>
      <c r="I123" s="49" t="s">
        <v>722</v>
      </c>
      <c r="J123" s="50">
        <f t="shared" si="9"/>
        <v>0</v>
      </c>
      <c r="K123" s="29"/>
      <c r="L123" s="124">
        <f>+G123*J123</f>
        <v>0</v>
      </c>
      <c r="M123" s="29"/>
    </row>
    <row r="124" spans="2:13" ht="15">
      <c r="B124" s="93">
        <f t="shared" si="8"/>
        <v>241</v>
      </c>
      <c r="C124" s="44"/>
      <c r="D124" s="42" t="s">
        <v>669</v>
      </c>
      <c r="E124" s="42" t="str">
        <f>"(sum lns "&amp;B116&amp;" to "&amp;B123&amp;")"</f>
        <v>(sum lns 233 to 240)</v>
      </c>
      <c r="F124" s="26"/>
      <c r="G124" s="123">
        <f>SUM(G116:G123)</f>
        <v>2158547.1412500003</v>
      </c>
      <c r="H124" s="26"/>
      <c r="I124" s="81"/>
      <c r="J124" s="26"/>
      <c r="K124" s="26"/>
      <c r="L124" s="123">
        <f>SUM(L116:L123)</f>
        <v>699439.431378072</v>
      </c>
      <c r="M124" s="18"/>
    </row>
    <row r="125" spans="2:13" ht="15">
      <c r="B125" s="93"/>
      <c r="C125" s="20"/>
      <c r="D125" s="42"/>
      <c r="E125" s="18"/>
      <c r="F125" s="18"/>
      <c r="G125" s="108"/>
      <c r="H125" s="18"/>
      <c r="I125" s="20"/>
      <c r="J125" s="18"/>
      <c r="K125" s="18"/>
      <c r="L125" s="108"/>
      <c r="M125" s="18"/>
    </row>
    <row r="126" spans="2:13" ht="15">
      <c r="B126" s="93">
        <f>+B124+1</f>
        <v>242</v>
      </c>
      <c r="C126" s="20"/>
      <c r="D126" s="61" t="s">
        <v>654</v>
      </c>
      <c r="E126" s="17" t="s">
        <v>599</v>
      </c>
      <c r="F126" s="18"/>
      <c r="G126" s="108">
        <f>-+'KGPCo WS D IPP Credits'!C19</f>
        <v>0</v>
      </c>
      <c r="H126" s="18"/>
      <c r="I126" s="133" t="s">
        <v>724</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65296184.301249996</v>
      </c>
      <c r="H128" s="19"/>
      <c r="I128" s="19"/>
      <c r="J128" s="48"/>
      <c r="K128" s="19"/>
      <c r="L128" s="120">
        <f>+L124+L111+L109+L100+L126+L113</f>
        <v>8187662.074506082</v>
      </c>
      <c r="M128" s="19"/>
    </row>
    <row r="129" spans="2:13" ht="16.5" thickTop="1">
      <c r="B129" s="93"/>
      <c r="C129" s="764"/>
      <c r="D129" s="764"/>
      <c r="E129" s="764"/>
      <c r="F129" s="764"/>
      <c r="G129" s="764"/>
      <c r="H129" s="764"/>
      <c r="I129" s="14"/>
      <c r="J129" s="14"/>
      <c r="K129" s="14"/>
      <c r="L129" s="15"/>
      <c r="M129" s="13"/>
    </row>
    <row r="130" spans="2:13" ht="15">
      <c r="B130" s="688"/>
      <c r="C130" s="20"/>
      <c r="D130" s="17"/>
      <c r="E130" s="19"/>
      <c r="F130" s="19"/>
      <c r="G130" s="19"/>
      <c r="H130" s="19"/>
      <c r="I130" s="19"/>
      <c r="J130" s="19"/>
      <c r="K130" s="19"/>
      <c r="L130" s="19"/>
      <c r="M130" s="19"/>
    </row>
    <row r="131" spans="2:13" ht="15">
      <c r="B131" s="688"/>
      <c r="C131" s="20"/>
      <c r="D131" s="17"/>
      <c r="E131" s="19"/>
      <c r="F131" s="32" t="str">
        <f>F47</f>
        <v>AEP East Companies </v>
      </c>
      <c r="G131" s="32"/>
      <c r="H131" s="19"/>
      <c r="I131" s="19"/>
      <c r="J131" s="19"/>
      <c r="K131" s="19"/>
      <c r="L131" s="19"/>
      <c r="M131" s="65"/>
    </row>
    <row r="132" spans="2:13" ht="15">
      <c r="B132" s="688"/>
      <c r="C132" s="20"/>
      <c r="D132" s="17"/>
      <c r="E132" s="19"/>
      <c r="F132" s="32" t="str">
        <f>F48</f>
        <v>Transmission Cost of Service Formula Rate</v>
      </c>
      <c r="G132" s="32"/>
      <c r="H132" s="19"/>
      <c r="I132" s="19"/>
      <c r="J132" s="19"/>
      <c r="K132" s="19"/>
      <c r="L132" s="19"/>
      <c r="M132" s="65"/>
    </row>
    <row r="133" spans="2:13" ht="15">
      <c r="B133" s="688"/>
      <c r="C133" s="20"/>
      <c r="D133" s="13"/>
      <c r="E133" s="19"/>
      <c r="F133" s="32" t="str">
        <f>F49</f>
        <v>Utilizing  Historic Cost Data for 2011 with Year-End Rate Base Balances</v>
      </c>
      <c r="G133" s="19"/>
      <c r="H133" s="19"/>
      <c r="I133" s="19"/>
      <c r="J133" s="19"/>
      <c r="K133" s="19"/>
      <c r="L133" s="19"/>
      <c r="M133" s="148"/>
    </row>
    <row r="134" spans="2:13" ht="15">
      <c r="B134" s="688"/>
      <c r="C134" s="20"/>
      <c r="D134" s="13"/>
      <c r="E134" s="19"/>
      <c r="F134" s="32"/>
      <c r="G134" s="19"/>
      <c r="H134" s="19"/>
      <c r="I134" s="19"/>
      <c r="J134" s="19"/>
      <c r="K134" s="19"/>
      <c r="L134" s="19"/>
      <c r="M134" s="19"/>
    </row>
    <row r="135" spans="2:13" ht="15">
      <c r="B135" s="688"/>
      <c r="C135" s="20"/>
      <c r="D135" s="13"/>
      <c r="E135" s="23"/>
      <c r="F135" s="32" t="str">
        <f>F51</f>
        <v>KINGSPORT POWER COMPANY</v>
      </c>
      <c r="G135" s="23"/>
      <c r="H135" s="86"/>
      <c r="I135" s="23"/>
      <c r="J135" s="23"/>
      <c r="K135" s="23"/>
      <c r="L135" s="13"/>
      <c r="M135" s="19"/>
    </row>
    <row r="136" spans="2:13" ht="15">
      <c r="B136" s="688"/>
      <c r="C136" s="20"/>
      <c r="D136" s="13"/>
      <c r="E136" s="23"/>
      <c r="F136" s="32"/>
      <c r="G136" s="23"/>
      <c r="H136" s="86"/>
      <c r="I136" s="23"/>
      <c r="J136" s="23"/>
      <c r="K136" s="23"/>
      <c r="L136" s="13"/>
      <c r="M136" s="19"/>
    </row>
    <row r="137" spans="2:14" ht="15">
      <c r="B137" s="688"/>
      <c r="C137" s="13"/>
      <c r="D137" s="20" t="s">
        <v>716</v>
      </c>
      <c r="E137" s="20" t="s">
        <v>717</v>
      </c>
      <c r="F137" s="20"/>
      <c r="G137" s="20" t="s">
        <v>718</v>
      </c>
      <c r="H137" s="29"/>
      <c r="I137" s="1148" t="s">
        <v>719</v>
      </c>
      <c r="J137" s="1152"/>
      <c r="K137" s="19"/>
      <c r="L137" s="21" t="s">
        <v>720</v>
      </c>
      <c r="M137" s="19"/>
      <c r="N137" s="2"/>
    </row>
    <row r="138" spans="2:15" ht="15.75">
      <c r="B138" s="688"/>
      <c r="C138" s="13"/>
      <c r="D138" s="20"/>
      <c r="E138" s="20"/>
      <c r="F138" s="20"/>
      <c r="G138" s="20"/>
      <c r="H138" s="29"/>
      <c r="I138" s="19"/>
      <c r="J138" s="34"/>
      <c r="K138" s="19"/>
      <c r="L138" s="13"/>
      <c r="M138" s="19"/>
      <c r="N138" s="4"/>
      <c r="O138" s="54"/>
    </row>
    <row r="139" spans="2:15" ht="15.75">
      <c r="B139" s="688"/>
      <c r="C139" s="20"/>
      <c r="D139" s="38" t="s">
        <v>695</v>
      </c>
      <c r="E139" s="35" t="str">
        <f>E55</f>
        <v>Data Sources</v>
      </c>
      <c r="F139" s="37"/>
      <c r="G139" s="19"/>
      <c r="H139" s="29"/>
      <c r="I139" s="19"/>
      <c r="J139" s="20"/>
      <c r="K139" s="19"/>
      <c r="L139" s="35" t="str">
        <f>L55</f>
        <v>Total</v>
      </c>
      <c r="M139" s="13"/>
      <c r="N139" s="4"/>
      <c r="O139" s="54"/>
    </row>
    <row r="140" spans="2:15" ht="15.75">
      <c r="B140" s="688"/>
      <c r="C140" s="25"/>
      <c r="D140" s="55" t="s">
        <v>696</v>
      </c>
      <c r="E140" s="122" t="str">
        <f>E56</f>
        <v>(See "General Notes")</v>
      </c>
      <c r="F140" s="19"/>
      <c r="G140" s="122" t="str">
        <f>G56</f>
        <v>TO Total</v>
      </c>
      <c r="H140" s="308"/>
      <c r="I140" s="1146" t="str">
        <f>I56</f>
        <v>Allocator</v>
      </c>
      <c r="J140" s="1147"/>
      <c r="K140" s="39"/>
      <c r="L140" s="122" t="str">
        <f>L56</f>
        <v>Transmission</v>
      </c>
      <c r="M140" s="19"/>
      <c r="N140" s="4"/>
      <c r="O140" s="54"/>
    </row>
    <row r="141" spans="2:13" ht="15.75">
      <c r="B141" s="93" t="str">
        <f>B57</f>
        <v>Line</v>
      </c>
      <c r="C141" s="13"/>
      <c r="D141" s="17"/>
      <c r="E141" s="19"/>
      <c r="F141" s="19"/>
      <c r="G141" s="55"/>
      <c r="H141" s="299"/>
      <c r="I141" s="38"/>
      <c r="J141" s="13"/>
      <c r="K141" s="56"/>
      <c r="L141" s="55"/>
      <c r="M141" s="19"/>
    </row>
    <row r="142" spans="2:13" ht="15">
      <c r="B142" s="93" t="str">
        <f>B58</f>
        <v>No.</v>
      </c>
      <c r="C142" s="20"/>
      <c r="D142" s="17" t="s">
        <v>697</v>
      </c>
      <c r="E142" s="19"/>
      <c r="F142" s="19"/>
      <c r="G142" s="19"/>
      <c r="H142" s="29"/>
      <c r="I142" s="32"/>
      <c r="J142" s="19"/>
      <c r="K142" s="19"/>
      <c r="L142" s="19"/>
      <c r="M142" s="19"/>
    </row>
    <row r="143" spans="2:13" ht="15">
      <c r="B143" s="93">
        <f>+B128+1</f>
        <v>244</v>
      </c>
      <c r="C143" s="20"/>
      <c r="D143" s="17" t="s">
        <v>721</v>
      </c>
      <c r="E143" s="19" t="s">
        <v>600</v>
      </c>
      <c r="F143" s="19"/>
      <c r="G143" s="137">
        <v>126737709</v>
      </c>
      <c r="H143" s="29"/>
      <c r="I143" s="32"/>
      <c r="J143" s="50"/>
      <c r="K143" s="19"/>
      <c r="L143" s="123"/>
      <c r="M143" s="19"/>
    </row>
    <row r="144" spans="2:13" ht="15">
      <c r="B144" s="93">
        <f>+B143+1</f>
        <v>245</v>
      </c>
      <c r="C144" s="20"/>
      <c r="D144" s="57" t="s">
        <v>725</v>
      </c>
      <c r="E144" s="19" t="s">
        <v>601</v>
      </c>
      <c r="F144" s="29"/>
      <c r="G144" s="137">
        <v>5057866</v>
      </c>
      <c r="H144" s="29"/>
      <c r="I144" s="32"/>
      <c r="J144" s="50"/>
      <c r="K144" s="19"/>
      <c r="L144" s="123"/>
      <c r="M144" s="19"/>
    </row>
    <row r="145" spans="2:13" ht="15">
      <c r="B145" s="93">
        <f aca="true" t="shared" si="10" ref="B145:B150">+B144+1</f>
        <v>246</v>
      </c>
      <c r="C145" s="20"/>
      <c r="D145" s="57" t="s">
        <v>94</v>
      </c>
      <c r="E145" s="19" t="s">
        <v>37</v>
      </c>
      <c r="F145" s="29"/>
      <c r="G145" s="137">
        <v>1694216</v>
      </c>
      <c r="H145" s="29"/>
      <c r="I145" s="49"/>
      <c r="J145" s="50"/>
      <c r="K145" s="29"/>
      <c r="L145" s="123"/>
      <c r="M145" s="19"/>
    </row>
    <row r="146" spans="2:13" ht="15">
      <c r="B146" s="93">
        <f t="shared" si="10"/>
        <v>247</v>
      </c>
      <c r="C146" s="20"/>
      <c r="D146" s="57" t="s">
        <v>95</v>
      </c>
      <c r="E146" s="19" t="s">
        <v>291</v>
      </c>
      <c r="F146" s="29"/>
      <c r="G146" s="137">
        <v>0</v>
      </c>
      <c r="H146" s="29"/>
      <c r="I146" s="49"/>
      <c r="J146" s="50"/>
      <c r="K146" s="29"/>
      <c r="L146" s="123"/>
      <c r="M146" s="19"/>
    </row>
    <row r="147" spans="2:15" ht="15.75" thickBot="1">
      <c r="B147" s="93">
        <f t="shared" si="10"/>
        <v>248</v>
      </c>
      <c r="C147" s="20"/>
      <c r="D147" s="57" t="s">
        <v>730</v>
      </c>
      <c r="E147" s="19" t="s">
        <v>289</v>
      </c>
      <c r="F147" s="29"/>
      <c r="G147" s="138">
        <v>478091</v>
      </c>
      <c r="H147" s="123"/>
      <c r="I147" s="764"/>
      <c r="J147" s="764"/>
      <c r="K147"/>
      <c r="L147"/>
      <c r="M147" s="18"/>
      <c r="N147" s="3"/>
      <c r="O147" s="3"/>
    </row>
    <row r="148" spans="2:15" ht="15">
      <c r="B148" s="93">
        <f t="shared" si="10"/>
        <v>249</v>
      </c>
      <c r="C148" s="20"/>
      <c r="D148" s="57" t="s">
        <v>96</v>
      </c>
      <c r="E148" s="29" t="str">
        <f>"(sum lns "&amp;B143&amp;"  to "&amp;B147&amp;")"</f>
        <v>(sum lns 244  to 248)</v>
      </c>
      <c r="F148" s="29"/>
      <c r="G148" s="123">
        <f>SUM(G143:G147)</f>
        <v>133967882</v>
      </c>
      <c r="H148" s="123"/>
      <c r="I148" s="764"/>
      <c r="J148" s="764"/>
      <c r="K148"/>
      <c r="L148"/>
      <c r="M148" s="18"/>
      <c r="N148" s="3"/>
      <c r="O148" s="3"/>
    </row>
    <row r="149" spans="2:15" ht="15">
      <c r="B149" s="93">
        <f t="shared" si="10"/>
        <v>250</v>
      </c>
      <c r="C149" s="20"/>
      <c r="D149" s="57" t="s">
        <v>182</v>
      </c>
      <c r="E149" s="29" t="str">
        <f>"(Note G) (Worksheet F, ln "&amp;'KGPCo WS F Misc Exp'!A31&amp;".C)"</f>
        <v>(Note G) (Worksheet F, ln 14.C)</v>
      </c>
      <c r="F149" s="29"/>
      <c r="G149" s="123">
        <f>'KGPCo WS F Misc Exp'!D31</f>
        <v>50417.87</v>
      </c>
      <c r="H149" s="123"/>
      <c r="I149" s="764"/>
      <c r="J149" s="764"/>
      <c r="K149"/>
      <c r="L149"/>
      <c r="M149" s="18"/>
      <c r="N149" s="3"/>
      <c r="O149" s="3"/>
    </row>
    <row r="150" spans="2:15" ht="15">
      <c r="B150" s="93">
        <f t="shared" si="10"/>
        <v>251</v>
      </c>
      <c r="C150" s="20"/>
      <c r="D150" s="57" t="s">
        <v>642</v>
      </c>
      <c r="E150" s="29" t="s">
        <v>694</v>
      </c>
      <c r="F150" s="29"/>
      <c r="G150" s="137">
        <v>0</v>
      </c>
      <c r="H150" s="123"/>
      <c r="I150" s="764"/>
      <c r="J150" s="764"/>
      <c r="K150"/>
      <c r="L150"/>
      <c r="M150" s="18"/>
      <c r="N150" s="3"/>
      <c r="O150" s="3"/>
    </row>
    <row r="151" spans="2:15" ht="15.75" thickBot="1">
      <c r="B151" s="93">
        <f>+B150+1</f>
        <v>252</v>
      </c>
      <c r="C151" s="81"/>
      <c r="D151" s="57" t="s">
        <v>186</v>
      </c>
      <c r="E151" s="29" t="s">
        <v>412</v>
      </c>
      <c r="F151" s="29"/>
      <c r="G151" s="124">
        <f>+'KGPCo WS F Misc Exp'!D19</f>
        <v>0</v>
      </c>
      <c r="H151" s="123"/>
      <c r="I151" s="262"/>
      <c r="J151" s="262"/>
      <c r="K151"/>
      <c r="L151"/>
      <c r="M151" s="18"/>
      <c r="N151" s="3"/>
      <c r="O151" s="3"/>
    </row>
    <row r="152" spans="2:15" ht="15">
      <c r="B152" s="93">
        <f>+B151+1</f>
        <v>253</v>
      </c>
      <c r="C152" s="20"/>
      <c r="D152" s="57" t="s">
        <v>279</v>
      </c>
      <c r="E152" s="19" t="str">
        <f>"(lns "&amp;B147&amp;" - "&amp;B149&amp;" - "&amp;B150&amp;" - "&amp;B151&amp;")"</f>
        <v>(lns 248 - 250 - 251 - 252)</v>
      </c>
      <c r="F152" s="57"/>
      <c r="G152" s="123">
        <f>G147-G149-G150-G151</f>
        <v>427673.13</v>
      </c>
      <c r="H152" s="29"/>
      <c r="I152" s="32" t="s">
        <v>715</v>
      </c>
      <c r="J152" s="50">
        <f>VLOOKUP(I152,APCo_Hist_Allocators,2,FALSE)</f>
        <v>1</v>
      </c>
      <c r="K152" s="29"/>
      <c r="L152" s="123">
        <f>+J152*G152</f>
        <v>427673.13</v>
      </c>
      <c r="M152" s="26"/>
      <c r="N152" s="3"/>
      <c r="O152" s="3"/>
    </row>
    <row r="153" spans="2:15" ht="15">
      <c r="B153" s="93"/>
      <c r="C153" s="20"/>
      <c r="D153" s="57"/>
      <c r="E153" s="29"/>
      <c r="F153" s="29"/>
      <c r="G153" s="767"/>
      <c r="H153" s="123"/>
      <c r="I153" s="764"/>
      <c r="J153" s="764"/>
      <c r="K153"/>
      <c r="L153"/>
      <c r="M153" s="18"/>
      <c r="N153" s="3"/>
      <c r="O153" s="3"/>
    </row>
    <row r="154" spans="2:15" ht="15">
      <c r="B154" s="93">
        <f>+B152+1</f>
        <v>254</v>
      </c>
      <c r="C154" s="20"/>
      <c r="D154" s="17" t="s">
        <v>698</v>
      </c>
      <c r="E154" s="19" t="s">
        <v>413</v>
      </c>
      <c r="F154" s="19"/>
      <c r="G154" s="137">
        <v>1928311</v>
      </c>
      <c r="H154" s="123"/>
      <c r="I154" s="43"/>
      <c r="J154" s="43"/>
      <c r="K154" s="19"/>
      <c r="L154" s="108"/>
      <c r="M154" s="19"/>
      <c r="N154" s="3"/>
      <c r="O154" s="3"/>
    </row>
    <row r="155" spans="2:15" ht="15">
      <c r="B155" s="93">
        <f aca="true" t="shared" si="11" ref="B155:B164">+B154+1</f>
        <v>255</v>
      </c>
      <c r="C155" s="20"/>
      <c r="D155" s="57" t="s">
        <v>184</v>
      </c>
      <c r="E155" s="19" t="s">
        <v>292</v>
      </c>
      <c r="F155" s="19"/>
      <c r="G155" s="137">
        <v>208315</v>
      </c>
      <c r="H155" s="123"/>
      <c r="I155" s="43"/>
      <c r="J155" s="17"/>
      <c r="K155" s="19"/>
      <c r="L155" s="108"/>
      <c r="M155"/>
      <c r="N155" s="3"/>
      <c r="O155" s="3"/>
    </row>
    <row r="156" spans="2:15" ht="15">
      <c r="B156" s="93">
        <f t="shared" si="11"/>
        <v>256</v>
      </c>
      <c r="C156" s="20"/>
      <c r="D156" s="57" t="s">
        <v>442</v>
      </c>
      <c r="E156" s="19" t="s">
        <v>898</v>
      </c>
      <c r="F156" s="19"/>
      <c r="G156" s="123">
        <f>'KGPCo -WS O'!H36+'KGPCo -WS O'!H38</f>
        <v>298666</v>
      </c>
      <c r="H156" s="123"/>
      <c r="I156" s="43"/>
      <c r="J156" s="17"/>
      <c r="K156" s="19"/>
      <c r="L156" s="108"/>
      <c r="M156"/>
      <c r="N156" s="3"/>
      <c r="O156" s="3"/>
    </row>
    <row r="157" spans="2:15" ht="15">
      <c r="B157" s="93">
        <f t="shared" si="11"/>
        <v>257</v>
      </c>
      <c r="C157" s="20"/>
      <c r="D157" s="17" t="s">
        <v>67</v>
      </c>
      <c r="E157" s="19" t="s">
        <v>899</v>
      </c>
      <c r="F157" s="19"/>
      <c r="G157" s="123">
        <f>'KGPCo -WS O'!H40</f>
        <v>-110630</v>
      </c>
      <c r="H157" s="123"/>
      <c r="I157" s="43"/>
      <c r="J157" s="17"/>
      <c r="K157" s="19"/>
      <c r="L157" s="108"/>
      <c r="M157"/>
      <c r="N157" s="3"/>
      <c r="O157" s="3"/>
    </row>
    <row r="158" spans="2:15" ht="15">
      <c r="B158" s="93">
        <f t="shared" si="11"/>
        <v>258</v>
      </c>
      <c r="C158" s="20"/>
      <c r="D158" s="17" t="s">
        <v>428</v>
      </c>
      <c r="E158" s="19" t="s">
        <v>900</v>
      </c>
      <c r="F158" s="19"/>
      <c r="G158" s="123">
        <f>'KGPCo -WS O'!H44</f>
        <v>25094</v>
      </c>
      <c r="H158" s="123"/>
      <c r="I158" s="43"/>
      <c r="J158" s="17"/>
      <c r="K158" s="19"/>
      <c r="L158" s="108"/>
      <c r="M158"/>
      <c r="N158" s="3"/>
      <c r="O158" s="3"/>
    </row>
    <row r="159" spans="2:15" ht="15">
      <c r="B159" s="93">
        <f t="shared" si="11"/>
        <v>259</v>
      </c>
      <c r="C159" s="20"/>
      <c r="D159" s="17" t="s">
        <v>183</v>
      </c>
      <c r="E159" s="19" t="s">
        <v>688</v>
      </c>
      <c r="F159" s="29"/>
      <c r="G159" s="137">
        <v>420</v>
      </c>
      <c r="H159" s="123"/>
      <c r="I159" s="43"/>
      <c r="J159" s="260"/>
      <c r="K159" s="19"/>
      <c r="L159" s="108"/>
      <c r="M159" s="19"/>
      <c r="N159" s="3"/>
      <c r="O159" s="3"/>
    </row>
    <row r="160" spans="2:15" ht="15">
      <c r="B160" s="93">
        <f t="shared" si="11"/>
        <v>260</v>
      </c>
      <c r="C160" s="20"/>
      <c r="D160" s="57" t="s">
        <v>702</v>
      </c>
      <c r="E160" s="19" t="s">
        <v>689</v>
      </c>
      <c r="F160" s="29"/>
      <c r="G160" s="137">
        <v>7240</v>
      </c>
      <c r="H160" s="123"/>
      <c r="I160" s="43"/>
      <c r="J160" s="43"/>
      <c r="K160" s="19"/>
      <c r="L160" s="108"/>
      <c r="M160" s="19"/>
      <c r="N160" s="3"/>
      <c r="O160" s="3"/>
    </row>
    <row r="161" spans="2:15" ht="15.75" thickBot="1">
      <c r="B161" s="93">
        <f t="shared" si="11"/>
        <v>261</v>
      </c>
      <c r="C161" s="20"/>
      <c r="D161" s="57" t="s">
        <v>185</v>
      </c>
      <c r="E161" s="19" t="s">
        <v>690</v>
      </c>
      <c r="F161" s="29"/>
      <c r="G161" s="138">
        <v>48182</v>
      </c>
      <c r="H161" s="123"/>
      <c r="I161" s="43"/>
      <c r="J161" s="43"/>
      <c r="K161" s="19"/>
      <c r="L161" s="108"/>
      <c r="M161" s="19"/>
      <c r="N161" s="3"/>
      <c r="O161" s="3"/>
    </row>
    <row r="162" spans="2:15" ht="15">
      <c r="B162" s="93">
        <f>+B161+1</f>
        <v>262</v>
      </c>
      <c r="C162" s="20"/>
      <c r="D162" s="17" t="s">
        <v>703</v>
      </c>
      <c r="E162" s="29" t="str">
        <f>"(ln "&amp;B154&amp;" - sum ln "&amp;B155&amp;"  to ln "&amp;B161&amp;")"</f>
        <v>(ln 254 - sum ln 255  to ln 261)</v>
      </c>
      <c r="F162" s="29"/>
      <c r="G162" s="123">
        <f>G154-SUM(G155:G161)</f>
        <v>1451024</v>
      </c>
      <c r="H162" s="123"/>
      <c r="I162" s="32" t="s">
        <v>727</v>
      </c>
      <c r="J162" s="50">
        <f aca="true" t="shared" si="12" ref="J162:J167">VLOOKUP(I162,APCo_Hist_Allocators,2,FALSE)</f>
        <v>0.1151916355991698</v>
      </c>
      <c r="K162" s="19"/>
      <c r="L162" s="108">
        <f>+J162*G162</f>
        <v>167145.82785364977</v>
      </c>
      <c r="M162" s="19"/>
      <c r="N162" s="3"/>
      <c r="O162" s="3"/>
    </row>
    <row r="163" spans="2:15" ht="15">
      <c r="B163" s="93">
        <f t="shared" si="11"/>
        <v>263</v>
      </c>
      <c r="C163" s="81"/>
      <c r="D163" s="57" t="s">
        <v>874</v>
      </c>
      <c r="E163" s="29" t="str">
        <f>"(ln "&amp;B155&amp;")"</f>
        <v>(ln 255)</v>
      </c>
      <c r="F163" s="29"/>
      <c r="G163" s="123">
        <f>+G155</f>
        <v>208315</v>
      </c>
      <c r="H163" s="123"/>
      <c r="I163" s="214" t="s">
        <v>191</v>
      </c>
      <c r="J163" s="50">
        <f t="shared" si="12"/>
        <v>0.15453628874070158</v>
      </c>
      <c r="K163" s="29"/>
      <c r="L163" s="123">
        <f>+J163*G163</f>
        <v>32192.226989019247</v>
      </c>
      <c r="M163" s="19"/>
      <c r="N163" s="3"/>
      <c r="O163" s="3"/>
    </row>
    <row r="164" spans="2:15" ht="15">
      <c r="B164" s="93">
        <f t="shared" si="11"/>
        <v>264</v>
      </c>
      <c r="C164" s="20"/>
      <c r="D164" s="57" t="s">
        <v>57</v>
      </c>
      <c r="E164" s="29" t="str">
        <f>"Worksheet F ln "&amp;'KGPCo WS F Misc Exp'!A41&amp;".(E) (Note L)"</f>
        <v>Worksheet F ln 20.(E) (Note L)</v>
      </c>
      <c r="F164" s="29"/>
      <c r="G164" s="123">
        <f>+'KGPCo WS F Misc Exp'!F41</f>
        <v>0</v>
      </c>
      <c r="H164" s="123"/>
      <c r="I164" s="32" t="s">
        <v>715</v>
      </c>
      <c r="J164" s="50">
        <f>VLOOKUP(I164,APCo_Proj_Allocators,2,FALSE)</f>
        <v>1</v>
      </c>
      <c r="K164" s="19"/>
      <c r="L164" s="108">
        <f>J164*G164</f>
        <v>0</v>
      </c>
      <c r="M164" s="19"/>
      <c r="N164" s="3"/>
      <c r="O164" s="3"/>
    </row>
    <row r="165" spans="2:15" ht="15">
      <c r="B165" s="93">
        <f>B164+1</f>
        <v>265</v>
      </c>
      <c r="C165" s="20"/>
      <c r="D165" s="57" t="s">
        <v>87</v>
      </c>
      <c r="E165" s="29" t="str">
        <f>"Worksheet F ln "&amp;'KGPCo WS F Misc Exp'!A61&amp;".(E) (Note L)"</f>
        <v>Worksheet F ln 37.(E) (Note L)</v>
      </c>
      <c r="F165" s="29"/>
      <c r="G165" s="130">
        <f>+'KGPCo WS F Misc Exp'!F61</f>
        <v>0</v>
      </c>
      <c r="H165" s="29"/>
      <c r="I165" s="49" t="s">
        <v>715</v>
      </c>
      <c r="J165" s="50">
        <f>VLOOKUP(I165,APCo_Proj_Allocators,2,FALSE)</f>
        <v>1</v>
      </c>
      <c r="K165" s="19"/>
      <c r="L165" s="108">
        <f>+J165*G165</f>
        <v>0</v>
      </c>
      <c r="M165" s="19"/>
      <c r="N165" s="3"/>
      <c r="O165" s="3"/>
    </row>
    <row r="166" spans="2:15" ht="15">
      <c r="B166" s="93">
        <f>+B165+1</f>
        <v>266</v>
      </c>
      <c r="C166" s="20"/>
      <c r="D166" s="57" t="s">
        <v>88</v>
      </c>
      <c r="E166" s="29" t="str">
        <f>"Worksheet F ln "&amp;'KGPCo WS F Misc Exp'!A71&amp;".(E) (Note L)"</f>
        <v>Worksheet F ln 44.(E) (Note L)</v>
      </c>
      <c r="F166" s="29"/>
      <c r="G166" s="130">
        <f>+'KGPCo WS F Misc Exp'!F71</f>
        <v>31695</v>
      </c>
      <c r="H166" s="755"/>
      <c r="I166" s="49" t="s">
        <v>724</v>
      </c>
      <c r="J166" s="50">
        <f>VLOOKUP(I166,APCo_Proj_Allocators,2,FALSE)</f>
        <v>1</v>
      </c>
      <c r="K166" s="19"/>
      <c r="L166" s="147">
        <f>+J166*G166</f>
        <v>31695</v>
      </c>
      <c r="M166" s="19"/>
      <c r="N166" s="3"/>
      <c r="O166" s="3"/>
    </row>
    <row r="167" spans="2:15" ht="15.75" thickBot="1">
      <c r="B167" s="93">
        <f>+B166+1</f>
        <v>267</v>
      </c>
      <c r="C167" s="20"/>
      <c r="D167" s="57" t="s">
        <v>326</v>
      </c>
      <c r="E167" s="19" t="s">
        <v>901</v>
      </c>
      <c r="F167" s="29"/>
      <c r="G167" s="124">
        <f>'KGPCo -WS O'!E24</f>
        <v>363495</v>
      </c>
      <c r="H167" s="29"/>
      <c r="I167" s="49" t="s">
        <v>727</v>
      </c>
      <c r="J167" s="50">
        <f t="shared" si="12"/>
        <v>0.1151916355991698</v>
      </c>
      <c r="K167" s="29"/>
      <c r="L167" s="124">
        <f>+G167*J167</f>
        <v>41871.58358212023</v>
      </c>
      <c r="M167" s="29"/>
      <c r="N167" s="3"/>
      <c r="O167" s="3"/>
    </row>
    <row r="168" spans="2:15" ht="15">
      <c r="B168" s="93">
        <f>+B167+1</f>
        <v>268</v>
      </c>
      <c r="C168" s="20"/>
      <c r="D168" s="17" t="s">
        <v>704</v>
      </c>
      <c r="E168" s="29" t="str">
        <f>"(sum lns "&amp;B162&amp;"  to "&amp;B167&amp;")"</f>
        <v>(sum lns 262  to 267)</v>
      </c>
      <c r="F168" s="29"/>
      <c r="G168" s="108">
        <f>SUM(G162:G167)</f>
        <v>2054529</v>
      </c>
      <c r="H168" s="123"/>
      <c r="I168" s="32"/>
      <c r="J168" s="43"/>
      <c r="K168" s="19"/>
      <c r="L168" s="108">
        <f>SUM(L162:L167)</f>
        <v>272904.63842478924</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286</v>
      </c>
      <c r="E170" s="29" t="str">
        <f>"(ln "&amp;B152&amp;" + ln "&amp;B168&amp;")"</f>
        <v>(ln 253 + ln 268)</v>
      </c>
      <c r="F170" s="29"/>
      <c r="G170" s="123">
        <f>+G152+G168</f>
        <v>2482202.13</v>
      </c>
      <c r="H170" s="123"/>
      <c r="I170" s="49"/>
      <c r="J170" s="29"/>
      <c r="K170" s="29"/>
      <c r="L170" s="123">
        <f>L152+L168</f>
        <v>700577.7684247892</v>
      </c>
      <c r="M170" s="19"/>
      <c r="N170" s="3"/>
      <c r="O170" s="3"/>
    </row>
    <row r="171" spans="2:15" ht="15">
      <c r="B171" s="93">
        <f>+B170+1</f>
        <v>270</v>
      </c>
      <c r="C171" s="81"/>
      <c r="D171" s="57" t="s">
        <v>408</v>
      </c>
      <c r="E171" s="29" t="s">
        <v>421</v>
      </c>
      <c r="F171" s="29"/>
      <c r="G171" s="137">
        <v>0</v>
      </c>
      <c r="H171" s="123"/>
      <c r="I171" s="32" t="s">
        <v>724</v>
      </c>
      <c r="J171" s="50">
        <f>VLOOKUP(I171,APCo_Hist_Allocators,2,FALSE)</f>
        <v>1</v>
      </c>
      <c r="K171" s="29"/>
      <c r="L171" s="108">
        <f>J171*G171</f>
        <v>0</v>
      </c>
      <c r="M171" s="19"/>
      <c r="N171" s="3"/>
      <c r="O171" s="3"/>
    </row>
    <row r="172" spans="2:15" ht="15.75" thickBot="1">
      <c r="B172" s="93">
        <f>+B171+1</f>
        <v>271</v>
      </c>
      <c r="C172" s="81"/>
      <c r="D172" s="57" t="s">
        <v>422</v>
      </c>
      <c r="E172" s="57"/>
      <c r="F172" s="29"/>
      <c r="G172" s="138">
        <v>0</v>
      </c>
      <c r="H172" s="123"/>
      <c r="I172" s="32" t="s">
        <v>724</v>
      </c>
      <c r="J172" s="50">
        <f>VLOOKUP(I172,APCo_Hist_Allocators,2,FALSE)</f>
        <v>1</v>
      </c>
      <c r="K172" s="29"/>
      <c r="L172" s="109">
        <f>J172*G172</f>
        <v>0</v>
      </c>
      <c r="M172" s="19"/>
      <c r="N172" s="3"/>
      <c r="O172" s="3"/>
    </row>
    <row r="173" spans="2:15" ht="15">
      <c r="B173" s="93">
        <f>+B172+1</f>
        <v>272</v>
      </c>
      <c r="C173" s="20"/>
      <c r="D173" s="57" t="s">
        <v>705</v>
      </c>
      <c r="E173" s="29" t="str">
        <f>"(ln "&amp;B170&amp;" + ln "&amp;B171&amp;" + ln "&amp;B172&amp;")"</f>
        <v>(ln 269 + ln 270 + ln 271)</v>
      </c>
      <c r="F173" s="29"/>
      <c r="G173" s="123">
        <f>+G170+G171+G172</f>
        <v>2482202.13</v>
      </c>
      <c r="H173" s="123"/>
      <c r="I173" s="49"/>
      <c r="J173" s="29"/>
      <c r="K173" s="29"/>
      <c r="L173" s="123">
        <f>+L170+L171+L172</f>
        <v>700577.7684247892</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708</v>
      </c>
      <c r="E175" s="49"/>
      <c r="F175" s="49"/>
      <c r="G175" s="108"/>
      <c r="H175" s="29"/>
      <c r="I175" s="32"/>
      <c r="J175" s="19"/>
      <c r="K175" s="19"/>
      <c r="L175" s="108"/>
      <c r="M175" s="19"/>
      <c r="N175" s="3"/>
      <c r="O175" s="3"/>
    </row>
    <row r="176" spans="2:15" ht="15">
      <c r="B176" s="93">
        <f aca="true" t="shared" si="13" ref="B176:B182">+B175+1</f>
        <v>274</v>
      </c>
      <c r="C176" s="20"/>
      <c r="D176" s="17" t="s">
        <v>721</v>
      </c>
      <c r="E176" s="333" t="s">
        <v>298</v>
      </c>
      <c r="F176" s="49"/>
      <c r="G176" s="1108">
        <v>0</v>
      </c>
      <c r="H176" s="29"/>
      <c r="I176" s="32" t="s">
        <v>722</v>
      </c>
      <c r="J176" s="50">
        <f>VLOOKUP(I176,APCo_Hist_Allocators,2,FALSE)</f>
        <v>0</v>
      </c>
      <c r="K176" s="19"/>
      <c r="L176" s="123">
        <f>+G176*J176</f>
        <v>0</v>
      </c>
      <c r="M176" s="19"/>
      <c r="N176" s="3"/>
      <c r="O176" s="3"/>
    </row>
    <row r="177" spans="2:15" ht="15">
      <c r="B177" s="93">
        <f t="shared" si="13"/>
        <v>275</v>
      </c>
      <c r="C177" s="20"/>
      <c r="D177" s="57" t="s">
        <v>725</v>
      </c>
      <c r="E177" s="333" t="s">
        <v>297</v>
      </c>
      <c r="F177" s="49"/>
      <c r="G177" s="1108">
        <v>3750616</v>
      </c>
      <c r="H177" s="29"/>
      <c r="I177" s="32" t="s">
        <v>722</v>
      </c>
      <c r="J177" s="50">
        <f>VLOOKUP(I177,APCo_Hist_Allocators,2,FALSE)</f>
        <v>0</v>
      </c>
      <c r="K177" s="19"/>
      <c r="L177" s="123">
        <f>+G177*J177</f>
        <v>0</v>
      </c>
      <c r="M177" s="19"/>
      <c r="N177" s="3"/>
      <c r="O177" s="3"/>
    </row>
    <row r="178" spans="2:15" ht="15">
      <c r="B178" s="93">
        <f t="shared" si="13"/>
        <v>276</v>
      </c>
      <c r="C178" s="20"/>
      <c r="D178" s="45" t="str">
        <f>+D147</f>
        <v>  Transmission </v>
      </c>
      <c r="E178" s="333" t="s">
        <v>293</v>
      </c>
      <c r="F178" s="58"/>
      <c r="G178" s="1108">
        <v>487251</v>
      </c>
      <c r="H178" s="749"/>
      <c r="I178" s="756" t="s">
        <v>646</v>
      </c>
      <c r="J178" s="50">
        <f>VLOOKUP(I178,APCo_Hist_Allocators,2,FALSE)</f>
        <v>1</v>
      </c>
      <c r="K178" s="47"/>
      <c r="L178" s="121">
        <f>J178*G178</f>
        <v>487251</v>
      </c>
      <c r="M178" s="47"/>
      <c r="N178" s="3"/>
      <c r="O178" s="3"/>
    </row>
    <row r="179" spans="2:15" ht="15.75">
      <c r="B179" s="93">
        <f>+B178+1</f>
        <v>277</v>
      </c>
      <c r="C179" s="20"/>
      <c r="D179" s="494" t="s">
        <v>404</v>
      </c>
      <c r="E179" s="46"/>
      <c r="F179" s="46"/>
      <c r="G179" s="505" t="s">
        <v>255</v>
      </c>
      <c r="H179" s="108"/>
      <c r="I179" s="32"/>
      <c r="J179" s="43"/>
      <c r="K179" s="19"/>
      <c r="L179" s="505" t="s">
        <v>255</v>
      </c>
      <c r="M179" s="47"/>
      <c r="N179" s="3"/>
      <c r="O179" s="3"/>
    </row>
    <row r="180" spans="2:15" ht="15">
      <c r="B180" s="93">
        <f>+B179+1</f>
        <v>278</v>
      </c>
      <c r="C180" s="20"/>
      <c r="D180" s="42" t="s">
        <v>731</v>
      </c>
      <c r="E180" s="58" t="s">
        <v>294</v>
      </c>
      <c r="F180" s="19"/>
      <c r="G180" s="137">
        <v>94952</v>
      </c>
      <c r="H180" s="123"/>
      <c r="I180" s="32" t="s">
        <v>727</v>
      </c>
      <c r="J180" s="50">
        <f>VLOOKUP(I180,APCo_Hist_Allocators,2,FALSE)</f>
        <v>0.1151916355991698</v>
      </c>
      <c r="K180" s="19"/>
      <c r="L180" s="108">
        <f>+J180*G180</f>
        <v>10937.67618341237</v>
      </c>
      <c r="M180" s="19"/>
      <c r="N180" s="8"/>
      <c r="O180" s="3"/>
    </row>
    <row r="181" spans="2:15" ht="15.75" thickBot="1">
      <c r="B181" s="93">
        <f t="shared" si="13"/>
        <v>279</v>
      </c>
      <c r="C181" s="20"/>
      <c r="D181" s="42" t="s">
        <v>732</v>
      </c>
      <c r="E181" s="46" t="s">
        <v>295</v>
      </c>
      <c r="F181" s="29"/>
      <c r="G181" s="138">
        <v>63706</v>
      </c>
      <c r="H181" s="123"/>
      <c r="I181" s="32" t="s">
        <v>727</v>
      </c>
      <c r="J181" s="50">
        <f>VLOOKUP(I181,APCo_Hist_Allocators,2,FALSE)</f>
        <v>0.1151916355991698</v>
      </c>
      <c r="K181" s="19"/>
      <c r="L181" s="109">
        <f>+J181*G181</f>
        <v>7338.398337480711</v>
      </c>
      <c r="M181" s="19"/>
      <c r="N181" s="8"/>
      <c r="O181" s="3"/>
    </row>
    <row r="182" spans="2:15" ht="15">
      <c r="B182" s="93">
        <f t="shared" si="13"/>
        <v>280</v>
      </c>
      <c r="C182" s="20"/>
      <c r="D182" s="42" t="s">
        <v>156</v>
      </c>
      <c r="E182" s="1133" t="str">
        <f>"(Ln "&amp;B176&amp;"+"&amp;B177&amp;"+
"&amp;B178&amp;"+"&amp;B179&amp;"+"&amp;B180&amp;"+"&amp;B181&amp;")"</f>
        <v>(Ln 274+275+
276+277+278+279)</v>
      </c>
      <c r="F182" s="19"/>
      <c r="G182" s="123">
        <f>+G176+G177+G178+G180+G181</f>
        <v>4396525</v>
      </c>
      <c r="H182" s="29"/>
      <c r="I182" s="32"/>
      <c r="J182" s="19"/>
      <c r="K182" s="19"/>
      <c r="L182" s="123">
        <f>+L176+L177+L178+L180+L181</f>
        <v>505527.0745208931</v>
      </c>
      <c r="M182" s="19"/>
      <c r="N182" s="3"/>
      <c r="O182" s="3"/>
    </row>
    <row r="183" spans="2:15" ht="15">
      <c r="B183" s="93"/>
      <c r="C183" s="20"/>
      <c r="D183" s="42"/>
      <c r="E183" s="1134"/>
      <c r="F183" s="19"/>
      <c r="G183" s="108"/>
      <c r="H183" s="29"/>
      <c r="I183" s="32"/>
      <c r="J183" s="19"/>
      <c r="K183" s="19"/>
      <c r="L183" s="108"/>
      <c r="M183" s="19"/>
      <c r="N183" s="3"/>
      <c r="O183" s="3"/>
    </row>
    <row r="184" spans="2:15" ht="15">
      <c r="B184" s="93">
        <f>+B182+1</f>
        <v>281</v>
      </c>
      <c r="C184" s="20"/>
      <c r="D184" s="42" t="s">
        <v>656</v>
      </c>
      <c r="E184" s="15" t="s">
        <v>296</v>
      </c>
      <c r="F184" s="13"/>
      <c r="G184" s="108"/>
      <c r="H184" s="29"/>
      <c r="I184" s="32"/>
      <c r="J184" s="19"/>
      <c r="K184" s="19"/>
      <c r="L184" s="108"/>
      <c r="M184" s="19"/>
      <c r="N184" s="640"/>
      <c r="O184" s="3"/>
    </row>
    <row r="185" spans="2:15" ht="15">
      <c r="B185" s="93">
        <f aca="true" t="shared" si="14" ref="B185:B190">+B184+1</f>
        <v>282</v>
      </c>
      <c r="C185" s="20"/>
      <c r="D185" s="42" t="s">
        <v>733</v>
      </c>
      <c r="E185" s="13"/>
      <c r="F185" s="13"/>
      <c r="G185" s="108"/>
      <c r="H185" s="29"/>
      <c r="I185" s="32"/>
      <c r="J185" s="13"/>
      <c r="K185" s="19"/>
      <c r="L185" s="108"/>
      <c r="M185" s="19"/>
      <c r="N185" s="3"/>
      <c r="O185" s="3"/>
    </row>
    <row r="186" spans="2:15" ht="15">
      <c r="B186" s="93">
        <f t="shared" si="14"/>
        <v>283</v>
      </c>
      <c r="C186" s="20"/>
      <c r="D186" s="42" t="s">
        <v>734</v>
      </c>
      <c r="E186" s="29" t="str">
        <f>"Worksheet H ln "&amp;'KGPCo WS H Other Taxes'!A39&amp;"."&amp;'KGPCo WS H Other Taxes'!I8&amp;""</f>
        <v>Worksheet H ln 21.(D)</v>
      </c>
      <c r="F186" s="19"/>
      <c r="G186" s="123">
        <f>+'KGPCo WS H Other Taxes'!I39</f>
        <v>123874</v>
      </c>
      <c r="H186" s="123"/>
      <c r="I186" s="32" t="s">
        <v>727</v>
      </c>
      <c r="J186" s="50">
        <f>VLOOKUP(I186,APCo_Hist_Allocators,2,FALSE)</f>
        <v>0.1151916355991698</v>
      </c>
      <c r="K186" s="19"/>
      <c r="L186" s="108">
        <f>+J186*G186</f>
        <v>14269.24866821156</v>
      </c>
      <c r="M186" s="52"/>
      <c r="N186" s="3"/>
      <c r="O186" s="3"/>
    </row>
    <row r="187" spans="2:15" ht="15">
      <c r="B187" s="93">
        <f t="shared" si="14"/>
        <v>284</v>
      </c>
      <c r="C187" s="20"/>
      <c r="D187" s="42" t="s">
        <v>735</v>
      </c>
      <c r="E187" s="29" t="s">
        <v>709</v>
      </c>
      <c r="F187" s="19"/>
      <c r="G187" s="123"/>
      <c r="H187" s="123"/>
      <c r="I187" s="32"/>
      <c r="J187" s="13"/>
      <c r="K187" s="19"/>
      <c r="L187" s="108"/>
      <c r="M187" s="29"/>
      <c r="N187" s="3"/>
      <c r="O187" s="3"/>
    </row>
    <row r="188" spans="2:15" ht="15">
      <c r="B188" s="93">
        <f t="shared" si="14"/>
        <v>285</v>
      </c>
      <c r="C188" s="81"/>
      <c r="D188" s="61" t="s">
        <v>736</v>
      </c>
      <c r="E188" s="29" t="str">
        <f>"Worksheet H ln "&amp;'KGPCo WS H Other Taxes'!A39&amp;".(C) &amp; ln "&amp;'KGPCo WS H Other Taxes'!A60&amp;"."&amp;'KGPCo WS H Other Taxes'!G8&amp;""</f>
        <v>Worksheet H ln 21.(C) &amp; ln 35.(C)</v>
      </c>
      <c r="F188" s="29"/>
      <c r="G188" s="123">
        <f>+'KGPCo WS H Other Taxes'!G39</f>
        <v>848729</v>
      </c>
      <c r="H188" s="123"/>
      <c r="I188" s="49" t="s">
        <v>724</v>
      </c>
      <c r="J188" s="50"/>
      <c r="K188" s="29"/>
      <c r="L188" s="640">
        <f>+'KGPCo WS H Other Taxes'!G60</f>
        <v>110043.04818154006</v>
      </c>
      <c r="M188" s="694"/>
      <c r="N188" s="640"/>
      <c r="O188" s="8"/>
    </row>
    <row r="189" spans="2:15" ht="15">
      <c r="B189" s="93">
        <f t="shared" si="14"/>
        <v>286</v>
      </c>
      <c r="C189" s="20"/>
      <c r="D189" s="42" t="s">
        <v>877</v>
      </c>
      <c r="E189" s="29" t="str">
        <f>"Worksheet H ln "&amp;'KGPCo WS H Other Taxes'!A39&amp;"."&amp;'KGPCo WS H Other Taxes'!M8&amp;""</f>
        <v>Worksheet H ln 21.(F)</v>
      </c>
      <c r="F189" s="19"/>
      <c r="G189" s="123">
        <f>+'KGPCo WS H Other Taxes'!M39</f>
        <v>3916007</v>
      </c>
      <c r="H189" s="262"/>
      <c r="I189" s="32" t="s">
        <v>722</v>
      </c>
      <c r="J189" s="50">
        <f>VLOOKUP(I189,APCo_Hist_Allocators,2,FALSE)</f>
        <v>0</v>
      </c>
      <c r="K189" s="19"/>
      <c r="L189" s="108">
        <f>+J189*G189</f>
        <v>0</v>
      </c>
      <c r="M189" s="29"/>
      <c r="N189" s="3"/>
      <c r="O189" s="3"/>
    </row>
    <row r="190" spans="2:15" ht="15.75" thickBot="1">
      <c r="B190" s="93">
        <f t="shared" si="14"/>
        <v>287</v>
      </c>
      <c r="C190" s="20"/>
      <c r="D190" s="42" t="s">
        <v>737</v>
      </c>
      <c r="E190" s="29" t="str">
        <f>"Worksheet H ln "&amp;'KGPCo WS H Other Taxes'!A39&amp;"."&amp;'KGPCo WS H Other Taxes'!K8&amp;""</f>
        <v>Worksheet H ln 21.(E)</v>
      </c>
      <c r="F190" s="19"/>
      <c r="G190" s="124">
        <f>+'KGPCo WS H Other Taxes'!K39</f>
        <v>718147</v>
      </c>
      <c r="H190" s="262"/>
      <c r="I190" s="32" t="s">
        <v>191</v>
      </c>
      <c r="J190" s="50">
        <f>VLOOKUP(I190,APCo_Hist_Allocators,2,FALSE)</f>
        <v>0.15453628874070158</v>
      </c>
      <c r="K190" s="19"/>
      <c r="L190" s="109">
        <f>+J190*G190</f>
        <v>110979.77215026862</v>
      </c>
      <c r="M190" s="29"/>
      <c r="N190" s="3"/>
      <c r="O190" s="3"/>
    </row>
    <row r="191" spans="2:15" ht="15">
      <c r="B191" s="93">
        <f>+B190+1</f>
        <v>288</v>
      </c>
      <c r="C191" s="20"/>
      <c r="D191" s="42" t="s">
        <v>657</v>
      </c>
      <c r="E191" s="106" t="str">
        <f>"(sum lns "&amp;B186&amp;" to "&amp;B190&amp;")"</f>
        <v>(sum lns 283 to 287)</v>
      </c>
      <c r="F191" s="19"/>
      <c r="G191" s="123">
        <f>SUM(G186:G190)</f>
        <v>5606757</v>
      </c>
      <c r="H191" s="29"/>
      <c r="I191" s="32"/>
      <c r="J191" s="31"/>
      <c r="K191" s="19"/>
      <c r="L191" s="108">
        <f>SUM(L186:L190)</f>
        <v>235292.06900002022</v>
      </c>
      <c r="M191" s="19"/>
      <c r="N191" s="3"/>
      <c r="O191" s="3"/>
    </row>
    <row r="192" spans="2:15" ht="15">
      <c r="B192" s="93"/>
      <c r="C192" s="20"/>
      <c r="D192" s="42"/>
      <c r="E192" s="19"/>
      <c r="F192" s="19"/>
      <c r="G192" s="19"/>
      <c r="H192" s="29"/>
      <c r="I192" s="32"/>
      <c r="J192" s="31"/>
      <c r="K192" s="19"/>
      <c r="L192" s="19"/>
      <c r="M192" s="496"/>
      <c r="N192" s="3"/>
      <c r="O192" s="3"/>
    </row>
    <row r="193" spans="2:15" ht="15">
      <c r="B193" s="93">
        <f>+B191+1</f>
        <v>289</v>
      </c>
      <c r="C193" s="20"/>
      <c r="D193" s="42" t="s">
        <v>193</v>
      </c>
      <c r="E193" s="29" t="s">
        <v>299</v>
      </c>
      <c r="F193" s="64"/>
      <c r="G193" s="19"/>
      <c r="H193" s="764"/>
      <c r="I193" s="23"/>
      <c r="J193" s="13"/>
      <c r="K193" s="19"/>
      <c r="L193" s="506"/>
      <c r="M193" s="19"/>
      <c r="N193" s="3"/>
      <c r="O193" s="3"/>
    </row>
    <row r="194" spans="2:15" ht="15">
      <c r="B194" s="93">
        <f aca="true" t="shared" si="15" ref="B194:B199">+B193+1</f>
        <v>290</v>
      </c>
      <c r="C194" s="20"/>
      <c r="D194" s="60" t="s">
        <v>194</v>
      </c>
      <c r="E194" s="19"/>
      <c r="F194" s="534"/>
      <c r="G194" s="455">
        <f>IF(F337&gt;0,1-(((1-F338)*(1-F337))/(1-F338*F337*F339)),0)</f>
        <v>0.392185</v>
      </c>
      <c r="H194" s="768"/>
      <c r="I194" s="768"/>
      <c r="J194" s="13"/>
      <c r="K194" s="507"/>
      <c r="L194" s="506"/>
      <c r="M194" s="19"/>
      <c r="N194" s="3"/>
      <c r="O194" s="3"/>
    </row>
    <row r="195" spans="2:15" ht="15">
      <c r="B195" s="93">
        <f t="shared" si="15"/>
        <v>291</v>
      </c>
      <c r="C195" s="20"/>
      <c r="D195" s="51" t="s">
        <v>195</v>
      </c>
      <c r="E195" s="19"/>
      <c r="F195" s="534"/>
      <c r="G195" s="455">
        <f>IF(L255&gt;0,($G194/(1-$G194))*(1-$L255/$L258),0)</f>
        <v>0.5092124349322851</v>
      </c>
      <c r="H195" s="768"/>
      <c r="I195" s="768"/>
      <c r="J195" s="13"/>
      <c r="K195" s="507"/>
      <c r="L195" s="506"/>
      <c r="M195" s="19"/>
      <c r="N195" s="3"/>
      <c r="O195" s="3"/>
    </row>
    <row r="196" spans="2:15" ht="15">
      <c r="B196" s="93">
        <f t="shared" si="15"/>
        <v>292</v>
      </c>
      <c r="C196" s="20"/>
      <c r="D196" s="61" t="str">
        <f>"       where WCLTD=(ln "&amp;B255&amp;") and WACC = (ln "&amp;B258&amp;")"</f>
        <v>       where WCLTD=(ln 327) and WACC = (ln 330)</v>
      </c>
      <c r="E196" s="29"/>
      <c r="F196" s="757"/>
      <c r="G196" s="19"/>
      <c r="H196" s="768"/>
      <c r="I196" s="768"/>
      <c r="J196" s="758"/>
      <c r="K196" s="507"/>
      <c r="L196" s="497"/>
      <c r="M196" s="19"/>
      <c r="N196" s="3"/>
      <c r="O196" s="3"/>
    </row>
    <row r="197" spans="2:15" ht="15">
      <c r="B197" s="93">
        <f t="shared" si="15"/>
        <v>293</v>
      </c>
      <c r="C197" s="20"/>
      <c r="D197" s="42" t="s">
        <v>303</v>
      </c>
      <c r="E197" s="760"/>
      <c r="F197" s="534"/>
      <c r="G197" s="19"/>
      <c r="H197" s="764"/>
      <c r="I197" s="23"/>
      <c r="J197" s="758"/>
      <c r="K197" s="507"/>
      <c r="L197" s="506"/>
      <c r="M197" s="19"/>
      <c r="N197" s="3"/>
      <c r="O197" s="3"/>
    </row>
    <row r="198" spans="2:15" ht="15">
      <c r="B198" s="93">
        <f t="shared" si="15"/>
        <v>294</v>
      </c>
      <c r="C198" s="20"/>
      <c r="D198" s="62" t="str">
        <f>"      GRCF=1 / (1 - T)  = (from ln "&amp;B194&amp;")"</f>
        <v>      GRCF=1 / (1 - T)  = (from ln 290)</v>
      </c>
      <c r="E198" s="64"/>
      <c r="F198" s="64"/>
      <c r="G198" s="456">
        <f>IF(G194&gt;0,1/(1-G194),0)</f>
        <v>1.6452374488948118</v>
      </c>
      <c r="H198" s="764"/>
      <c r="I198" s="129"/>
      <c r="J198" s="761"/>
      <c r="K198" s="162"/>
      <c r="L198" s="498"/>
      <c r="M198" s="19"/>
      <c r="N198" s="3"/>
      <c r="O198" s="3"/>
    </row>
    <row r="199" spans="2:15" ht="15">
      <c r="B199" s="93">
        <f t="shared" si="15"/>
        <v>295</v>
      </c>
      <c r="C199" s="20"/>
      <c r="D199" s="42" t="s">
        <v>196</v>
      </c>
      <c r="E199" s="43" t="s">
        <v>455</v>
      </c>
      <c r="F199" s="64"/>
      <c r="G199" s="137">
        <v>0</v>
      </c>
      <c r="H199" s="764"/>
      <c r="I199" s="129"/>
      <c r="J199" s="762"/>
      <c r="K199" s="162"/>
      <c r="L199" s="163"/>
      <c r="M199" s="32"/>
      <c r="N199" s="3"/>
      <c r="O199" s="3"/>
    </row>
    <row r="200" spans="2:15" ht="15">
      <c r="B200" s="93"/>
      <c r="C200" s="20"/>
      <c r="D200" s="42"/>
      <c r="E200" s="19"/>
      <c r="F200" s="534"/>
      <c r="G200" s="108"/>
      <c r="H200" s="764"/>
      <c r="I200" s="129"/>
      <c r="J200" s="759"/>
      <c r="K200" s="162"/>
      <c r="L200" s="506"/>
      <c r="M200" s="19"/>
      <c r="N200" s="3"/>
      <c r="O200" s="3"/>
    </row>
    <row r="201" spans="2:15" ht="15">
      <c r="B201" s="93">
        <f>+B199+1</f>
        <v>296</v>
      </c>
      <c r="C201" s="20"/>
      <c r="D201" s="60" t="s">
        <v>197</v>
      </c>
      <c r="E201" s="63" t="str">
        <f>"(ln "&amp;B195&amp;" * ln "&amp;B205&amp;")"</f>
        <v>(ln 291 * ln 299)</v>
      </c>
      <c r="F201" s="164"/>
      <c r="G201" s="108">
        <f>+G195*G205</f>
        <v>2883127.990434286</v>
      </c>
      <c r="H201" s="764"/>
      <c r="I201" s="129"/>
      <c r="J201" s="759"/>
      <c r="K201" s="108"/>
      <c r="L201" s="108">
        <f>+L205*G195</f>
        <v>361523.0806491986</v>
      </c>
      <c r="M201" s="19"/>
      <c r="N201" s="3"/>
      <c r="O201" s="3"/>
    </row>
    <row r="202" spans="2:15" ht="15.75" thickBot="1">
      <c r="B202" s="93">
        <f>+B201+1</f>
        <v>297</v>
      </c>
      <c r="C202" s="20"/>
      <c r="D202" s="51" t="s">
        <v>198</v>
      </c>
      <c r="E202" s="63" t="str">
        <f>"(ln "&amp;B198&amp;" * ln "&amp;B199&amp;")"</f>
        <v>(ln 294 * ln 295)</v>
      </c>
      <c r="F202" s="63"/>
      <c r="G202" s="109">
        <f>G198*G199</f>
        <v>0</v>
      </c>
      <c r="H202" s="764"/>
      <c r="I202" s="204" t="s">
        <v>192</v>
      </c>
      <c r="J202" s="50">
        <f>VLOOKUP(I202,APCo_Hist_Allocators,2,FALSE)</f>
        <v>0.12939189520750893</v>
      </c>
      <c r="K202" s="108"/>
      <c r="L202" s="109">
        <f>+G202*J202</f>
        <v>0</v>
      </c>
      <c r="M202" s="19"/>
      <c r="N202" s="3"/>
      <c r="O202" s="3"/>
    </row>
    <row r="203" spans="2:15" ht="15">
      <c r="B203" s="93">
        <f>+B202+1</f>
        <v>298</v>
      </c>
      <c r="C203" s="20"/>
      <c r="D203" s="60" t="s">
        <v>658</v>
      </c>
      <c r="E203" s="19" t="str">
        <f>"(sum lns "&amp;B201&amp;" to "&amp;B202&amp;")"</f>
        <v>(sum lns 296 to 297)</v>
      </c>
      <c r="F203" s="63"/>
      <c r="G203" s="132">
        <f>SUM(G201:G202)</f>
        <v>2883127.990434286</v>
      </c>
      <c r="H203" s="764"/>
      <c r="I203" s="129" t="s">
        <v>709</v>
      </c>
      <c r="J203" s="763"/>
      <c r="K203" s="108"/>
      <c r="L203" s="132">
        <f>SUM(L201:L202)</f>
        <v>361523.0806491986</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876</v>
      </c>
      <c r="E205" s="62" t="str">
        <f>"(ln "&amp;B128&amp;" * ln "&amp;B258&amp;")"</f>
        <v>(ln 243 * ln 330)</v>
      </c>
      <c r="F205" s="48"/>
      <c r="G205" s="108">
        <f>+$L258*G128</f>
        <v>5661935.555084556</v>
      </c>
      <c r="H205" s="29"/>
      <c r="I205" s="129"/>
      <c r="J205" s="108"/>
      <c r="K205" s="108"/>
      <c r="L205" s="108">
        <f>+L258*L128</f>
        <v>709965.1458772287</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8" t="s">
        <v>693</v>
      </c>
      <c r="E207" s="13"/>
      <c r="F207" s="58"/>
      <c r="G207" s="123">
        <f>+'KGPCo WS D IPP Credits'!C11</f>
        <v>0</v>
      </c>
      <c r="H207" s="123"/>
      <c r="I207" s="133" t="s">
        <v>724</v>
      </c>
      <c r="J207" s="50">
        <f>VLOOKUP(I207,APCo_Hist_Allocators,2,FALSE)</f>
        <v>1</v>
      </c>
      <c r="K207" s="121"/>
      <c r="L207" s="108">
        <f>+J207*G207</f>
        <v>0</v>
      </c>
      <c r="M207" s="47"/>
    </row>
    <row r="208" spans="2:13" ht="15">
      <c r="B208" s="93"/>
      <c r="C208" s="20"/>
      <c r="D208" s="748"/>
      <c r="E208" s="13"/>
      <c r="F208" s="58"/>
      <c r="G208" s="123"/>
      <c r="H208" s="123"/>
      <c r="I208" s="133"/>
      <c r="J208" s="50"/>
      <c r="K208" s="121"/>
      <c r="L208" s="108"/>
      <c r="M208" s="47"/>
    </row>
    <row r="209" spans="2:13" ht="15">
      <c r="B209" s="93">
        <f>+B207+1</f>
        <v>301</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95"/>
    </row>
    <row r="210" spans="2:13" ht="15">
      <c r="B210" s="93"/>
      <c r="C210" s="20"/>
      <c r="D210" s="748"/>
      <c r="E210" s="15"/>
      <c r="F210" s="46"/>
      <c r="G210" s="123"/>
      <c r="H210" s="123"/>
      <c r="I210" s="611"/>
      <c r="J210" s="50"/>
      <c r="K210" s="302"/>
      <c r="L210" s="123"/>
      <c r="M210" s="295"/>
    </row>
    <row r="211" spans="2:13" ht="15">
      <c r="B211" s="93">
        <f>+B209+1</f>
        <v>302</v>
      </c>
      <c r="C211" s="20"/>
      <c r="D211" s="748" t="str">
        <f>" Tax Impact on Net Loss / (Gain) on Sales of Plant Held for Future Use (ln "&amp;B209&amp;" * ln"&amp;B195&amp;")"</f>
        <v> Tax Impact on Net Loss / (Gain) on Sales of Plant Held for Future Use (ln 301 * ln291)</v>
      </c>
      <c r="E211" s="15"/>
      <c r="F211" s="46"/>
      <c r="G211" s="123">
        <f>-+G195*G209</f>
        <v>0</v>
      </c>
      <c r="H211" s="123"/>
      <c r="I211" s="611"/>
      <c r="J211" s="50"/>
      <c r="K211" s="302"/>
      <c r="L211" s="123">
        <f>L209*-G195</f>
        <v>0</v>
      </c>
      <c r="M211" s="295"/>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97</v>
      </c>
      <c r="E213" s="13"/>
      <c r="F213" s="13"/>
      <c r="G213" s="161">
        <f>+G207+G205+G203+G191+G182+G173+G209+G211</f>
        <v>21030547.67551884</v>
      </c>
      <c r="H213" s="13"/>
      <c r="I213" s="13"/>
      <c r="J213" s="13"/>
      <c r="K213" s="13"/>
      <c r="L213" s="161">
        <f>+L207+L205+L203+L191+L182+L173+L209+L211</f>
        <v>2512885.1384721296</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2011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KINGSPORT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663</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711</v>
      </c>
      <c r="C224" s="20"/>
      <c r="D224" s="40"/>
      <c r="E224" s="18"/>
      <c r="F224" s="18"/>
      <c r="G224" s="18"/>
      <c r="H224" s="18"/>
      <c r="I224" s="18"/>
      <c r="J224" s="18"/>
      <c r="K224" s="18"/>
      <c r="L224" s="18"/>
      <c r="M224" s="19"/>
      <c r="N224" s="59"/>
      <c r="O224" s="59"/>
    </row>
    <row r="225" spans="2:16" ht="15.75" thickBot="1">
      <c r="B225" s="94" t="s">
        <v>712</v>
      </c>
      <c r="C225" s="25"/>
      <c r="D225" s="57" t="s">
        <v>29</v>
      </c>
      <c r="E225" s="26"/>
      <c r="F225" s="26"/>
      <c r="G225" s="26"/>
      <c r="H225" s="26"/>
      <c r="I225" s="26"/>
      <c r="J225" s="26"/>
      <c r="K225" s="15"/>
      <c r="L225" s="13"/>
      <c r="M225" s="19"/>
      <c r="N225" s="59"/>
      <c r="O225" s="59"/>
      <c r="P225"/>
    </row>
    <row r="226" spans="2:16" ht="15">
      <c r="B226" s="93">
        <f>+B213+1</f>
        <v>304</v>
      </c>
      <c r="C226" s="20"/>
      <c r="D226" s="26" t="s">
        <v>761</v>
      </c>
      <c r="E226" s="146" t="str">
        <f>"(ln "&amp;B61&amp;")"</f>
        <v>(ln 185)</v>
      </c>
      <c r="F226" s="71"/>
      <c r="H226" s="72"/>
      <c r="I226" s="72"/>
      <c r="J226" s="72"/>
      <c r="K226" s="72"/>
      <c r="L226" s="130">
        <f>+G61</f>
        <v>20264445</v>
      </c>
      <c r="M226" s="19"/>
      <c r="N226" s="59"/>
      <c r="O226" s="59"/>
      <c r="P226"/>
    </row>
    <row r="227" spans="2:16" ht="15">
      <c r="B227" s="93">
        <f>+B226+1</f>
        <v>305</v>
      </c>
      <c r="C227" s="20"/>
      <c r="D227" s="26" t="s">
        <v>300</v>
      </c>
      <c r="E227" s="73"/>
      <c r="F227" s="73"/>
      <c r="G227" s="74"/>
      <c r="H227" s="73"/>
      <c r="I227" s="73"/>
      <c r="J227" s="73"/>
      <c r="K227" s="73"/>
      <c r="L227" s="683"/>
      <c r="M227" s="19"/>
      <c r="P227"/>
    </row>
    <row r="228" spans="2:16" ht="15.75" thickBot="1">
      <c r="B228" s="93">
        <f>+B227+1</f>
        <v>306</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'!E62</f>
        <v>0</v>
      </c>
      <c r="M228" s="19"/>
      <c r="P228"/>
    </row>
    <row r="229" spans="2:16" ht="15">
      <c r="B229" s="93">
        <f>+B228+1</f>
        <v>307</v>
      </c>
      <c r="C229" s="20"/>
      <c r="D229" s="26" t="s">
        <v>30</v>
      </c>
      <c r="E229" s="125" t="str">
        <f>"(ln "&amp;B226&amp;" - ln "&amp;B227&amp;" - ln "&amp;B228&amp;")"</f>
        <v>(ln 304 - ln 305 - ln 306)</v>
      </c>
      <c r="F229" s="71"/>
      <c r="H229" s="72"/>
      <c r="I229" s="72"/>
      <c r="J229" s="41"/>
      <c r="K229" s="72"/>
      <c r="L229" s="130">
        <f>L226-L227-L228</f>
        <v>20264445</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31</v>
      </c>
      <c r="E231" s="76" t="str">
        <f>"(ln "&amp;B229&amp;" / ln "&amp;B226&amp;")"</f>
        <v>(ln 307 / ln 304)</v>
      </c>
      <c r="F231" s="75"/>
      <c r="H231" s="77"/>
      <c r="I231" s="78"/>
      <c r="J231" s="78"/>
      <c r="K231" s="79" t="s">
        <v>738</v>
      </c>
      <c r="L231" s="80">
        <f>IF(L226&gt;0,L229/L226,0)</f>
        <v>1</v>
      </c>
      <c r="M231" s="19"/>
      <c r="P231"/>
    </row>
    <row r="232" spans="2:13" ht="15.75">
      <c r="B232" s="93"/>
      <c r="C232" s="20"/>
      <c r="D232" s="70"/>
      <c r="E232" s="26"/>
      <c r="F232" s="26"/>
      <c r="G232" s="145"/>
      <c r="H232" s="26"/>
      <c r="I232" s="81"/>
      <c r="J232" s="26"/>
      <c r="K232" s="26"/>
      <c r="L232" s="18"/>
      <c r="M232" s="19"/>
    </row>
    <row r="233" spans="2:13" ht="30">
      <c r="B233" s="93">
        <f>B231+1</f>
        <v>309</v>
      </c>
      <c r="C233" s="81"/>
      <c r="D233" s="57" t="s">
        <v>664</v>
      </c>
      <c r="E233" s="49" t="s">
        <v>199</v>
      </c>
      <c r="F233" s="49" t="s">
        <v>857</v>
      </c>
      <c r="G233" s="213" t="s">
        <v>22</v>
      </c>
      <c r="H233" s="208" t="s">
        <v>713</v>
      </c>
      <c r="I233" s="32"/>
      <c r="J233" s="19"/>
      <c r="K233" s="19"/>
      <c r="L233" s="19"/>
      <c r="M233" s="19"/>
    </row>
    <row r="234" spans="2:13" ht="15">
      <c r="B234" s="93">
        <f aca="true" t="shared" si="16" ref="B234:B239">+B233+1</f>
        <v>310</v>
      </c>
      <c r="C234" s="81"/>
      <c r="D234" s="57" t="s">
        <v>721</v>
      </c>
      <c r="E234" s="19" t="s">
        <v>306</v>
      </c>
      <c r="F234" s="1109">
        <v>1066</v>
      </c>
      <c r="G234" s="1109">
        <v>0</v>
      </c>
      <c r="H234" s="209">
        <f>+F234+G234</f>
        <v>1066</v>
      </c>
      <c r="I234" s="32" t="s">
        <v>722</v>
      </c>
      <c r="J234" s="50">
        <f>VLOOKUP(I234,APCo_Hist_Allocators,2,FALSE)</f>
        <v>0</v>
      </c>
      <c r="K234" s="83"/>
      <c r="L234" s="108">
        <f>(F234+G234)*J234</f>
        <v>0</v>
      </c>
      <c r="M234" s="19"/>
    </row>
    <row r="235" spans="2:13" ht="15">
      <c r="B235" s="93">
        <f t="shared" si="16"/>
        <v>311</v>
      </c>
      <c r="C235" s="81"/>
      <c r="D235" s="61" t="s">
        <v>723</v>
      </c>
      <c r="E235" s="29" t="s">
        <v>603</v>
      </c>
      <c r="F235" s="1109">
        <v>156289</v>
      </c>
      <c r="G235" s="1109">
        <v>84748</v>
      </c>
      <c r="H235" s="209">
        <f>+F235+G235</f>
        <v>241037</v>
      </c>
      <c r="I235" s="81" t="s">
        <v>715</v>
      </c>
      <c r="J235" s="50">
        <f>VLOOKUP(I235,APCo_Hist_Allocators,2,FALSE)</f>
        <v>1</v>
      </c>
      <c r="K235" s="83"/>
      <c r="L235" s="108">
        <f>(F235+G235)*J235</f>
        <v>241037</v>
      </c>
      <c r="M235" s="19"/>
    </row>
    <row r="236" spans="2:13" ht="15">
      <c r="B236" s="93">
        <f t="shared" si="16"/>
        <v>312</v>
      </c>
      <c r="C236" s="81"/>
      <c r="D236" s="61" t="s">
        <v>40</v>
      </c>
      <c r="E236" s="19" t="s">
        <v>373</v>
      </c>
      <c r="F236" s="1109">
        <v>0</v>
      </c>
      <c r="G236" s="1109">
        <v>0</v>
      </c>
      <c r="H236" s="209">
        <v>0</v>
      </c>
      <c r="I236" s="32" t="s">
        <v>722</v>
      </c>
      <c r="J236" s="50">
        <f>VLOOKUP(I236,APCo_Proj_Allocators,2,FALSE)</f>
        <v>0</v>
      </c>
      <c r="K236" s="83"/>
      <c r="L236" s="108">
        <f>(F236+G236)*J236</f>
        <v>0</v>
      </c>
      <c r="M236" s="19"/>
    </row>
    <row r="237" spans="2:13" ht="15">
      <c r="B237" s="93">
        <f t="shared" si="16"/>
        <v>313</v>
      </c>
      <c r="C237" s="81"/>
      <c r="D237" s="61" t="s">
        <v>725</v>
      </c>
      <c r="E237" s="19" t="s">
        <v>304</v>
      </c>
      <c r="F237" s="1109">
        <v>918276</v>
      </c>
      <c r="G237" s="1109">
        <v>122712</v>
      </c>
      <c r="H237" s="209">
        <f>+F237+G237</f>
        <v>1040988</v>
      </c>
      <c r="I237" s="32" t="s">
        <v>722</v>
      </c>
      <c r="J237" s="50">
        <f>VLOOKUP(I237,APCo_Hist_Allocators,2,FALSE)</f>
        <v>0</v>
      </c>
      <c r="K237" s="83"/>
      <c r="L237" s="108">
        <f>(F237+G237)*J237</f>
        <v>0</v>
      </c>
      <c r="M237" s="19"/>
    </row>
    <row r="238" spans="2:13" ht="15.75" thickBot="1">
      <c r="B238" s="93">
        <f t="shared" si="16"/>
        <v>314</v>
      </c>
      <c r="C238" s="81"/>
      <c r="D238" s="61" t="s">
        <v>878</v>
      </c>
      <c r="E238" s="19" t="s">
        <v>305</v>
      </c>
      <c r="F238" s="1110">
        <v>283101</v>
      </c>
      <c r="G238" s="1110">
        <v>526295</v>
      </c>
      <c r="H238" s="210">
        <f>+F238+G238</f>
        <v>809396</v>
      </c>
      <c r="I238" s="32" t="s">
        <v>722</v>
      </c>
      <c r="J238" s="50">
        <f>VLOOKUP(I238,APCo_Hist_Allocators,2,FALSE)</f>
        <v>0</v>
      </c>
      <c r="K238" s="83"/>
      <c r="L238" s="109">
        <f>(F238+G238)*J238</f>
        <v>0</v>
      </c>
      <c r="M238" s="19"/>
    </row>
    <row r="239" spans="2:13" ht="15.75">
      <c r="B239" s="93">
        <f t="shared" si="16"/>
        <v>315</v>
      </c>
      <c r="C239" s="81"/>
      <c r="D239" s="61" t="s">
        <v>713</v>
      </c>
      <c r="E239" s="61" t="str">
        <f>"(sum lns "&amp;B234&amp;" to "&amp;B238&amp;")"</f>
        <v>(sum lns 310 to 314)</v>
      </c>
      <c r="F239" s="29">
        <f>SUM(F234:F238)</f>
        <v>1358732</v>
      </c>
      <c r="G239" s="29">
        <f>SUM(G234:G238)</f>
        <v>733755</v>
      </c>
      <c r="H239" s="29">
        <f>SUM(H234:H238)</f>
        <v>2092487</v>
      </c>
      <c r="I239" s="32"/>
      <c r="J239" s="19"/>
      <c r="K239" s="19"/>
      <c r="L239" s="108">
        <f>SUM(L234:L238)</f>
        <v>241037</v>
      </c>
      <c r="M239" s="35"/>
    </row>
    <row r="240" spans="2:13" ht="15">
      <c r="B240" s="93"/>
      <c r="C240" s="81"/>
      <c r="D240" s="61" t="s">
        <v>709</v>
      </c>
      <c r="E240" s="29" t="s">
        <v>709</v>
      </c>
      <c r="F240" s="29"/>
      <c r="G240" s="15"/>
      <c r="H240" s="29"/>
      <c r="I240" s="144"/>
      <c r="M240" s="13"/>
    </row>
    <row r="241" spans="2:13" ht="15.75">
      <c r="B241" s="93">
        <f>B239+1</f>
        <v>316</v>
      </c>
      <c r="C241" s="20"/>
      <c r="D241" s="42" t="s">
        <v>667</v>
      </c>
      <c r="E241" s="29"/>
      <c r="F241" s="29"/>
      <c r="G241" s="29"/>
      <c r="H241" s="29"/>
      <c r="I241" s="144"/>
      <c r="K241" s="127" t="s">
        <v>668</v>
      </c>
      <c r="L241" s="128">
        <f>L239/(F239+G239)</f>
        <v>0.1151916355991698</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875</v>
      </c>
      <c r="E244" s="29"/>
      <c r="F244" s="29"/>
      <c r="G244" s="29"/>
      <c r="H244" s="29"/>
      <c r="I244" s="29"/>
      <c r="J244" s="29"/>
      <c r="K244" s="29"/>
      <c r="L244" s="215" t="s">
        <v>739</v>
      </c>
      <c r="M244" s="19"/>
    </row>
    <row r="245" spans="2:13" ht="15">
      <c r="B245" s="93">
        <f aca="true" t="shared" si="17" ref="B245:B252">+B244+1</f>
        <v>318</v>
      </c>
      <c r="C245" s="81"/>
      <c r="D245" s="29" t="s">
        <v>27</v>
      </c>
      <c r="E245" s="16" t="str">
        <f>"(Worksheet L, ln. "&amp;'KGPCo WS L Cost of Debt'!A52&amp;", col. "&amp;'KGPCo WS L Cost of Debt'!E8&amp;")"</f>
        <v>(Worksheet L, ln. 35, col. (D))</v>
      </c>
      <c r="F245" s="29"/>
      <c r="G245" s="29"/>
      <c r="H245" s="29"/>
      <c r="I245" s="29"/>
      <c r="J245" s="29"/>
      <c r="K245" s="29"/>
      <c r="L245" s="123">
        <f>+'KGPCo WS L Cost of Debt'!E52</f>
        <v>904000</v>
      </c>
      <c r="M245" s="19"/>
    </row>
    <row r="246" spans="2:13" ht="15">
      <c r="B246" s="93">
        <f t="shared" si="17"/>
        <v>319</v>
      </c>
      <c r="C246" s="81"/>
      <c r="D246" s="29" t="s">
        <v>28</v>
      </c>
      <c r="E246" s="16" t="str">
        <f>"(Worksheet L, ln. "&amp;'KGPCo WS L Cost of Debt'!A59&amp;", col. "&amp;'KGPCo WS L Cost of Debt'!E8&amp;")"</f>
        <v>(Worksheet L, ln. 40, col. (D))</v>
      </c>
      <c r="F246" s="29"/>
      <c r="G246" s="29"/>
      <c r="H246" s="29"/>
      <c r="I246" s="29"/>
      <c r="J246" s="29"/>
      <c r="K246" s="29"/>
      <c r="L246" s="123">
        <f>+'KGPCo WS L Cost of Debt'!E59</f>
        <v>0</v>
      </c>
      <c r="M246" s="19"/>
    </row>
    <row r="247" spans="2:13" ht="15">
      <c r="B247" s="93">
        <f t="shared" si="17"/>
        <v>320</v>
      </c>
      <c r="C247" s="81"/>
      <c r="D247" s="307" t="s">
        <v>89</v>
      </c>
      <c r="E247" s="29"/>
      <c r="F247" s="29"/>
      <c r="G247" s="29"/>
      <c r="H247" s="149"/>
      <c r="I247" s="29"/>
      <c r="J247" s="29"/>
      <c r="K247" s="29"/>
      <c r="L247" s="123"/>
      <c r="M247" s="19"/>
    </row>
    <row r="248" spans="2:13" ht="15">
      <c r="B248" s="93">
        <f t="shared" si="17"/>
        <v>321</v>
      </c>
      <c r="C248" s="81"/>
      <c r="D248" s="29" t="s">
        <v>90</v>
      </c>
      <c r="E248" s="16" t="s">
        <v>448</v>
      </c>
      <c r="F248" s="29"/>
      <c r="G248" s="26"/>
      <c r="H248" s="262"/>
      <c r="I248" s="29"/>
      <c r="J248" s="29"/>
      <c r="K248" s="29"/>
      <c r="L248" s="137">
        <v>29450188</v>
      </c>
      <c r="M248" s="19"/>
    </row>
    <row r="249" spans="2:13" ht="15">
      <c r="B249" s="93">
        <f t="shared" si="17"/>
        <v>322</v>
      </c>
      <c r="C249" s="81"/>
      <c r="D249" s="29" t="s">
        <v>244</v>
      </c>
      <c r="E249" s="16" t="s">
        <v>449</v>
      </c>
      <c r="F249" s="29"/>
      <c r="G249" s="29"/>
      <c r="H249" s="262"/>
      <c r="I249" s="29"/>
      <c r="J249" s="29"/>
      <c r="K249" s="29"/>
      <c r="L249" s="137">
        <v>0</v>
      </c>
      <c r="M249" s="19"/>
    </row>
    <row r="250" spans="2:13" ht="15">
      <c r="B250" s="93">
        <f>+B249+1</f>
        <v>323</v>
      </c>
      <c r="C250" s="81"/>
      <c r="D250" s="29" t="s">
        <v>236</v>
      </c>
      <c r="E250" s="16" t="s">
        <v>605</v>
      </c>
      <c r="F250" s="29"/>
      <c r="G250" s="29"/>
      <c r="H250" s="262"/>
      <c r="I250" s="29"/>
      <c r="J250" s="29"/>
      <c r="K250" s="29"/>
      <c r="L250" s="137">
        <v>0</v>
      </c>
      <c r="M250" s="19"/>
    </row>
    <row r="251" spans="2:13" ht="15.75" thickBot="1">
      <c r="B251" s="93">
        <f t="shared" si="17"/>
        <v>324</v>
      </c>
      <c r="C251" s="81"/>
      <c r="D251" s="29" t="s">
        <v>242</v>
      </c>
      <c r="E251" s="16" t="s">
        <v>450</v>
      </c>
      <c r="F251" s="29"/>
      <c r="G251" s="29"/>
      <c r="H251" s="262"/>
      <c r="I251" s="29"/>
      <c r="J251" s="318"/>
      <c r="K251" s="29"/>
      <c r="L251" s="138">
        <v>-2750</v>
      </c>
      <c r="M251" s="19"/>
    </row>
    <row r="252" spans="2:13" ht="15">
      <c r="B252" s="93">
        <f t="shared" si="17"/>
        <v>325</v>
      </c>
      <c r="C252" s="81"/>
      <c r="D252" s="16" t="s">
        <v>91</v>
      </c>
      <c r="E252" s="29" t="str">
        <f>"(ln "&amp;B248&amp;" - ln "&amp;B249&amp;" - ln "&amp;B250&amp;" - ln "&amp;B251&amp;")"</f>
        <v>(ln 321 - ln 322 - ln 323 - ln 324)</v>
      </c>
      <c r="F252" s="263"/>
      <c r="G252" s="59"/>
      <c r="H252" s="26"/>
      <c r="I252" s="26"/>
      <c r="J252" s="26"/>
      <c r="K252" s="26"/>
      <c r="L252" s="123">
        <f>+L248-L249-L250-L251</f>
        <v>29452938</v>
      </c>
      <c r="M252" s="19"/>
    </row>
    <row r="253" spans="2:13" ht="15.75">
      <c r="B253" s="93"/>
      <c r="C253" s="81"/>
      <c r="D253" s="61"/>
      <c r="E253" s="29"/>
      <c r="F253" s="29"/>
      <c r="G253" s="1156"/>
      <c r="H253" s="1156"/>
      <c r="I253" s="533"/>
      <c r="J253" s="879" t="s">
        <v>740</v>
      </c>
      <c r="K253" s="29"/>
      <c r="L253" s="29"/>
      <c r="M253" s="19"/>
    </row>
    <row r="254" spans="2:21" ht="15.75" thickBot="1">
      <c r="B254" s="93">
        <f>+B252+1</f>
        <v>326</v>
      </c>
      <c r="C254" s="81"/>
      <c r="D254" s="61"/>
      <c r="F254" s="29"/>
      <c r="G254" s="264" t="s">
        <v>739</v>
      </c>
      <c r="H254" s="264" t="s">
        <v>741</v>
      </c>
      <c r="I254" s="533"/>
      <c r="J254" s="881" t="s">
        <v>302</v>
      </c>
      <c r="K254" s="29"/>
      <c r="L254" s="264" t="s">
        <v>742</v>
      </c>
      <c r="M254" s="19"/>
      <c r="N254" s="33"/>
      <c r="O254" s="33"/>
      <c r="P254" s="33"/>
      <c r="Q254" s="33"/>
      <c r="R254" s="33"/>
      <c r="S254" s="33"/>
      <c r="T254" s="33"/>
      <c r="U254" s="33"/>
    </row>
    <row r="255" spans="2:21" ht="15">
      <c r="B255" s="93">
        <f>+B254+1</f>
        <v>327</v>
      </c>
      <c r="C255" s="81"/>
      <c r="D255" s="61" t="str">
        <f>"  Long Term Debt  (Note T) Worksheet L, ln "&amp;'KGPCo WS L Cost of Debt'!A52&amp;", col. "&amp;'KGPCo WS L Cost of Debt'!C8&amp;")"</f>
        <v>  Long Term Debt  (Note T) Worksheet L, ln 35, col. (B))</v>
      </c>
      <c r="F255" s="29"/>
      <c r="G255" s="123">
        <f>+'KGPCo WS L Cost of Debt'!C52</f>
        <v>20000000</v>
      </c>
      <c r="H255" s="882">
        <f>IF($G$258&gt;0,G255/$G$258,0)</f>
        <v>0.40442491000231373</v>
      </c>
      <c r="I255" s="788"/>
      <c r="J255" s="885">
        <f>IF(G255&gt;0,L245/G255,0)</f>
        <v>0.0452</v>
      </c>
      <c r="K255" s="15"/>
      <c r="L255" s="886">
        <f>+H255*J255</f>
        <v>0.01828000593210458</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82">
        <f>IF($G$258&gt;0,G256/$G$258,0)</f>
        <v>0</v>
      </c>
      <c r="I256" s="788"/>
      <c r="J256" s="885">
        <f>IF(G256&gt;0,L246/G256,0)</f>
        <v>0</v>
      </c>
      <c r="K256" s="15"/>
      <c r="L256" s="887">
        <f>+H256*J256</f>
        <v>0</v>
      </c>
      <c r="M256" s="19"/>
    </row>
    <row r="257" spans="2:13" ht="15.75" thickBot="1">
      <c r="B257" s="93">
        <f>+B256+1</f>
        <v>329</v>
      </c>
      <c r="C257" s="81"/>
      <c r="D257" s="61" t="str">
        <f>"  Common Stock (ln "&amp;B252&amp;")"</f>
        <v>  Common Stock (ln 325)</v>
      </c>
      <c r="F257" s="15"/>
      <c r="G257" s="124">
        <f>+L252</f>
        <v>29452938</v>
      </c>
      <c r="H257" s="882">
        <f>IF($G$258&gt;0,G257/$G$258,0)</f>
        <v>0.5955750899976863</v>
      </c>
      <c r="I257" s="788"/>
      <c r="J257" s="600">
        <v>0.1149</v>
      </c>
      <c r="K257" s="15"/>
      <c r="L257" s="888">
        <f>+H257*J257</f>
        <v>0.06843157784073416</v>
      </c>
      <c r="M257" s="19"/>
    </row>
    <row r="258" spans="2:13" ht="15.75">
      <c r="B258" s="93">
        <f>+B257+1</f>
        <v>330</v>
      </c>
      <c r="C258" s="81"/>
      <c r="D258" s="61" t="str">
        <f>" Total (Sum lns "&amp;B255&amp;" to "&amp;B257&amp;")"</f>
        <v> Total (Sum lns 327 to 329)</v>
      </c>
      <c r="F258" s="15"/>
      <c r="G258" s="123">
        <f>G257+G256+G255</f>
        <v>49452938</v>
      </c>
      <c r="I258" s="533"/>
      <c r="J258" s="790"/>
      <c r="K258" s="265" t="s">
        <v>645</v>
      </c>
      <c r="L258" s="890">
        <f>SUM(L255:L257)</f>
        <v>0.08671158377283873</v>
      </c>
      <c r="M258" s="85"/>
    </row>
    <row r="259" spans="2:21" ht="15">
      <c r="B259" s="93"/>
      <c r="C259" s="764"/>
      <c r="D259" s="103"/>
      <c r="E259" s="262"/>
      <c r="F259" s="149"/>
      <c r="G259" s="149"/>
      <c r="H259" s="149"/>
      <c r="I259" s="149"/>
      <c r="J259" s="142"/>
      <c r="K259" s="142"/>
      <c r="L259" s="142"/>
      <c r="M259" s="7"/>
      <c r="N259" s="87"/>
      <c r="O259" s="87"/>
      <c r="P259" s="87"/>
      <c r="Q259" s="87"/>
      <c r="R259" s="87"/>
      <c r="S259" s="87"/>
      <c r="T259" s="87"/>
      <c r="U259" s="87"/>
    </row>
    <row r="260" spans="2:21" ht="15.75">
      <c r="B260" s="688"/>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8"/>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88"/>
      <c r="C262" s="20"/>
      <c r="D262" s="68"/>
      <c r="E262" s="38"/>
      <c r="F262" s="23" t="str">
        <f>F218</f>
        <v>Utilizing  Historic Cost Data for 2011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KINGSPORT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771</v>
      </c>
      <c r="C266" s="25"/>
      <c r="D266" s="57"/>
      <c r="E266" s="26"/>
      <c r="F266" s="203" t="s">
        <v>770</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546</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6"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743</v>
      </c>
      <c r="C271" s="25"/>
      <c r="D271" s="57" t="s">
        <v>409</v>
      </c>
      <c r="E271" s="26"/>
      <c r="F271" s="26"/>
      <c r="G271" s="29"/>
      <c r="H271" s="29"/>
      <c r="I271" s="29"/>
      <c r="J271" s="29"/>
      <c r="K271" s="26"/>
      <c r="L271" s="29"/>
      <c r="M271" s="26"/>
      <c r="N271" s="87"/>
      <c r="O271" s="87"/>
      <c r="P271" s="87"/>
      <c r="Q271" s="87"/>
      <c r="R271" s="87"/>
      <c r="S271" s="87"/>
      <c r="T271" s="87"/>
      <c r="U271" s="87"/>
    </row>
    <row r="272" spans="2:21" ht="15">
      <c r="B272" s="99"/>
      <c r="C272" s="86"/>
      <c r="D272" s="57" t="s">
        <v>245</v>
      </c>
      <c r="E272" s="26"/>
      <c r="F272" s="26"/>
      <c r="G272" s="26"/>
      <c r="H272" s="26"/>
      <c r="I272" s="26"/>
      <c r="J272" s="26"/>
      <c r="K272" s="26"/>
      <c r="L272" s="26"/>
      <c r="M272" s="26"/>
      <c r="N272" s="87"/>
      <c r="O272" s="87"/>
      <c r="P272" s="87"/>
      <c r="Q272" s="87"/>
      <c r="R272" s="87"/>
      <c r="S272" s="87"/>
      <c r="T272" s="87"/>
      <c r="U272" s="87"/>
    </row>
    <row r="273" spans="2:21" ht="15">
      <c r="B273" s="100"/>
      <c r="C273" s="15"/>
      <c r="D273" s="16" t="s">
        <v>246</v>
      </c>
      <c r="E273" s="91"/>
      <c r="F273" s="91"/>
      <c r="G273" s="26"/>
      <c r="H273" s="26"/>
      <c r="I273" s="26"/>
      <c r="J273" s="26"/>
      <c r="K273" s="26"/>
      <c r="L273" s="26"/>
      <c r="M273" s="26"/>
      <c r="N273" s="87"/>
      <c r="O273" s="87"/>
      <c r="P273" s="87"/>
      <c r="Q273" s="87"/>
      <c r="R273" s="87"/>
      <c r="S273" s="87"/>
      <c r="T273" s="87"/>
      <c r="U273" s="87"/>
    </row>
    <row r="274" spans="2:21" ht="15">
      <c r="B274" s="100"/>
      <c r="C274" s="15"/>
      <c r="D274" s="57" t="s">
        <v>410</v>
      </c>
      <c r="E274" s="26"/>
      <c r="F274" s="26"/>
      <c r="G274" s="26"/>
      <c r="H274" s="26"/>
      <c r="I274" s="26"/>
      <c r="J274" s="26"/>
      <c r="K274" s="26"/>
      <c r="L274" s="26"/>
      <c r="M274" s="26"/>
      <c r="N274" s="87"/>
      <c r="O274" s="87"/>
      <c r="P274" s="87"/>
      <c r="Q274" s="87"/>
      <c r="R274" s="87"/>
      <c r="S274" s="87"/>
      <c r="T274" s="87"/>
      <c r="U274" s="87"/>
    </row>
    <row r="275" spans="2:21" ht="15">
      <c r="B275" s="97"/>
      <c r="C275" s="81"/>
      <c r="D275" s="57" t="s">
        <v>411</v>
      </c>
      <c r="E275" s="26"/>
      <c r="F275" s="26"/>
      <c r="G275" s="26"/>
      <c r="H275" s="26"/>
      <c r="I275" s="26"/>
      <c r="J275" s="26"/>
      <c r="K275" s="26"/>
      <c r="L275" s="26"/>
      <c r="M275" s="26"/>
      <c r="N275" s="87"/>
      <c r="O275" s="87"/>
      <c r="P275" s="87"/>
      <c r="Q275" s="87"/>
      <c r="R275" s="87"/>
      <c r="S275" s="87"/>
      <c r="T275" s="87"/>
      <c r="U275" s="87"/>
    </row>
    <row r="276" spans="2:21" ht="15">
      <c r="B276" s="97"/>
      <c r="C276" s="81"/>
      <c r="D276" s="57" t="s">
        <v>247</v>
      </c>
      <c r="E276" s="26"/>
      <c r="F276" s="26"/>
      <c r="G276" s="26"/>
      <c r="H276" s="26"/>
      <c r="I276" s="26"/>
      <c r="J276" s="26"/>
      <c r="K276" s="26"/>
      <c r="L276" s="26"/>
      <c r="M276" s="26"/>
      <c r="N276" s="87"/>
      <c r="O276" s="87"/>
      <c r="P276" s="87"/>
      <c r="Q276" s="87"/>
      <c r="R276" s="87"/>
      <c r="S276" s="87"/>
      <c r="T276" s="87"/>
      <c r="U276" s="87"/>
    </row>
    <row r="277" spans="2:21" ht="15">
      <c r="B277" s="97"/>
      <c r="C277" s="81"/>
      <c r="D277" s="57" t="s">
        <v>248</v>
      </c>
      <c r="E277" s="26"/>
      <c r="F277" s="26"/>
      <c r="G277" s="26"/>
      <c r="H277" s="26"/>
      <c r="I277" s="26"/>
      <c r="J277" s="26"/>
      <c r="K277" s="26"/>
      <c r="L277" s="26"/>
      <c r="M277" s="26"/>
      <c r="N277" s="87"/>
      <c r="O277" s="87"/>
      <c r="P277" s="87"/>
      <c r="Q277" s="87"/>
      <c r="R277" s="87"/>
      <c r="S277" s="87"/>
      <c r="T277" s="87"/>
      <c r="U277" s="87"/>
    </row>
    <row r="278" spans="2:21" ht="15">
      <c r="B278" s="97"/>
      <c r="C278" s="81"/>
      <c r="D278" s="57" t="s">
        <v>423</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744</v>
      </c>
      <c r="C280" s="81"/>
      <c r="D280" s="1144" t="s">
        <v>288</v>
      </c>
      <c r="E280" s="1145"/>
      <c r="F280" s="1145"/>
      <c r="G280" s="1145"/>
      <c r="H280" s="1145"/>
      <c r="I280" s="1145"/>
      <c r="J280" s="1145"/>
      <c r="K280" s="1145"/>
      <c r="L280" s="57"/>
      <c r="M280" s="26"/>
      <c r="N280" s="87"/>
      <c r="O280" s="87"/>
      <c r="P280" s="87"/>
      <c r="Q280" s="87"/>
      <c r="R280" s="87"/>
      <c r="S280" s="87"/>
      <c r="T280" s="87"/>
      <c r="U280" s="87"/>
    </row>
    <row r="281" spans="2:21" ht="15">
      <c r="B281" s="97"/>
      <c r="C281" s="81"/>
      <c r="D281" s="1145"/>
      <c r="E281" s="1145"/>
      <c r="F281" s="1145"/>
      <c r="G281" s="1145"/>
      <c r="H281" s="1145"/>
      <c r="I281" s="1145"/>
      <c r="J281" s="1145"/>
      <c r="K281" s="1145"/>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745</v>
      </c>
      <c r="C283" s="81"/>
      <c r="D283" s="7" t="str">
        <f>"Transmission Plant balances in this study are historic as of December 31, "&amp;'KGPCo Historic TCOS'!O1&amp;"."</f>
        <v>Transmission Plant balances in this study are historic as of December 31, 2011.</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746</v>
      </c>
      <c r="C285" s="81"/>
      <c r="D285" s="57" t="s">
        <v>92</v>
      </c>
      <c r="E285" s="26"/>
      <c r="F285" s="26"/>
      <c r="G285" s="26"/>
      <c r="H285" s="26"/>
      <c r="I285" s="26"/>
      <c r="J285" s="26"/>
      <c r="K285" s="26"/>
      <c r="L285" s="26"/>
      <c r="M285" s="26"/>
      <c r="N285" s="87"/>
      <c r="O285" s="87"/>
      <c r="P285" s="57"/>
      <c r="Q285" s="57"/>
      <c r="R285" s="87"/>
      <c r="S285" s="87"/>
      <c r="T285" s="87"/>
      <c r="U285" s="87"/>
    </row>
    <row r="286" spans="2:21" ht="15">
      <c r="B286" s="97"/>
      <c r="C286" s="81"/>
      <c r="D286" s="57" t="s">
        <v>431</v>
      </c>
      <c r="E286" s="26"/>
      <c r="F286" s="26"/>
      <c r="G286" s="26"/>
      <c r="H286" s="26"/>
      <c r="I286" s="26"/>
      <c r="J286" s="26"/>
      <c r="K286" s="26"/>
      <c r="L286" s="26"/>
      <c r="M286" s="26"/>
      <c r="N286" s="87"/>
      <c r="O286" s="87"/>
      <c r="P286" s="57"/>
      <c r="Q286" s="57"/>
      <c r="R286" s="87"/>
      <c r="S286" s="87"/>
      <c r="T286" s="87"/>
      <c r="U286" s="87"/>
    </row>
    <row r="287" spans="2:21" ht="15">
      <c r="B287" s="97"/>
      <c r="C287" s="81"/>
      <c r="D287" s="57" t="s">
        <v>444</v>
      </c>
      <c r="E287" s="26"/>
      <c r="F287" s="26"/>
      <c r="G287" s="26"/>
      <c r="H287" s="26"/>
      <c r="I287" s="26"/>
      <c r="J287" s="26"/>
      <c r="K287" s="26"/>
      <c r="L287" s="71"/>
      <c r="M287" s="26"/>
      <c r="N287" s="87"/>
      <c r="O287" s="87"/>
      <c r="P287" s="57"/>
      <c r="Q287" s="57"/>
      <c r="R287" s="87"/>
      <c r="S287" s="87"/>
      <c r="T287" s="87"/>
      <c r="U287" s="87"/>
    </row>
    <row r="288" spans="2:21" ht="15">
      <c r="B288" s="97"/>
      <c r="C288" s="81"/>
      <c r="D288" s="57" t="s">
        <v>234</v>
      </c>
      <c r="E288" s="26"/>
      <c r="F288" s="26"/>
      <c r="G288" s="26"/>
      <c r="H288" s="26"/>
      <c r="I288" s="26"/>
      <c r="J288" s="26"/>
      <c r="K288" s="26"/>
      <c r="L288" s="71"/>
      <c r="M288" s="26"/>
      <c r="N288" s="87"/>
      <c r="O288" s="87"/>
      <c r="P288" s="57"/>
      <c r="Q288" s="87"/>
      <c r="R288" s="87"/>
      <c r="S288" s="87"/>
      <c r="T288" s="87"/>
      <c r="U288" s="87"/>
    </row>
    <row r="289" spans="2:21" ht="15">
      <c r="B289" s="97"/>
      <c r="C289" s="81"/>
      <c r="D289" s="57" t="s">
        <v>34</v>
      </c>
      <c r="E289" s="26"/>
      <c r="F289" s="26"/>
      <c r="G289" s="26"/>
      <c r="H289" s="26"/>
      <c r="I289" s="26"/>
      <c r="J289" s="26"/>
      <c r="K289" s="26"/>
      <c r="L289" s="71"/>
      <c r="M289" s="26"/>
      <c r="N289" s="87"/>
      <c r="O289" s="87"/>
      <c r="P289" s="57"/>
      <c r="Q289" s="87"/>
      <c r="R289" s="87"/>
      <c r="S289" s="87"/>
      <c r="T289" s="87"/>
      <c r="U289" s="87"/>
    </row>
    <row r="290" spans="2:21" ht="6"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747</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50"/>
      <c r="F291" s="750"/>
      <c r="G291" s="750"/>
      <c r="H291" s="750"/>
      <c r="I291" s="750"/>
      <c r="J291" s="750"/>
      <c r="K291" s="750"/>
      <c r="L291" s="750"/>
      <c r="M291" s="26"/>
      <c r="N291" s="87"/>
      <c r="O291" s="87"/>
      <c r="P291" s="87"/>
      <c r="Q291" s="87"/>
      <c r="R291" s="87"/>
      <c r="S291" s="87"/>
      <c r="T291" s="87"/>
      <c r="U291" s="87"/>
    </row>
    <row r="292" spans="2:21" ht="15">
      <c r="B292" s="97"/>
      <c r="C292" s="57"/>
      <c r="D292" s="1059"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65"/>
      <c r="F292" s="765"/>
      <c r="G292" s="765"/>
      <c r="H292" s="765"/>
      <c r="I292" s="765"/>
      <c r="J292" s="765"/>
      <c r="K292" s="765"/>
      <c r="L292" s="765"/>
      <c r="M292" s="26"/>
      <c r="N292" s="87"/>
      <c r="O292" s="87"/>
      <c r="P292" s="87"/>
      <c r="Q292" s="87"/>
      <c r="R292" s="87"/>
      <c r="S292" s="87"/>
      <c r="T292" s="87"/>
      <c r="U292" s="87"/>
    </row>
    <row r="293" spans="2:21" ht="15">
      <c r="B293" s="97"/>
      <c r="C293" s="57"/>
      <c r="D293" s="1060" t="str">
        <f>+"2)  AEP transmission equalization transfers, as shown on line "&amp;B150&amp;""</f>
        <v>2)  AEP transmission equalization transfers, as shown on line 251</v>
      </c>
      <c r="E293" s="750"/>
      <c r="F293" s="750"/>
      <c r="G293" s="750"/>
      <c r="H293" s="750"/>
      <c r="I293" s="750"/>
      <c r="J293" s="750"/>
      <c r="K293" s="750"/>
      <c r="L293" s="750"/>
      <c r="M293" s="26"/>
      <c r="N293" s="87"/>
      <c r="O293" s="87"/>
      <c r="P293" s="87"/>
      <c r="Q293" s="87"/>
      <c r="R293" s="87"/>
      <c r="S293" s="87"/>
      <c r="T293" s="87"/>
      <c r="U293" s="87"/>
    </row>
    <row r="294" spans="2:21" ht="15">
      <c r="B294" s="97"/>
      <c r="C294" s="57"/>
      <c r="D294" s="1059" t="str">
        <f>+"3)  The impact of state regulatory deferrals and amortizations, as shown on line  "&amp;B151&amp;""</f>
        <v>3)  The impact of state regulatory deferrals and amortizations, as shown on line  252</v>
      </c>
      <c r="E294" s="765"/>
      <c r="F294" s="765"/>
      <c r="G294" s="765"/>
      <c r="H294" s="765"/>
      <c r="I294" s="765"/>
      <c r="J294" s="765"/>
      <c r="K294" s="765"/>
      <c r="L294" s="765"/>
      <c r="M294" s="26"/>
      <c r="N294" s="87"/>
      <c r="O294" s="87"/>
      <c r="P294" s="87"/>
      <c r="Q294" s="87"/>
      <c r="R294" s="87"/>
      <c r="S294" s="87"/>
      <c r="T294" s="87"/>
      <c r="U294" s="87"/>
    </row>
    <row r="295" spans="2:21" ht="15">
      <c r="B295" s="97"/>
      <c r="C295" s="765"/>
      <c r="D295" s="1060" t="str">
        <f>"4) All A&amp;G Expenses, as shown on line "&amp;B168&amp;"."</f>
        <v>4) All A&amp;G Expenses, as shown on line 268.</v>
      </c>
      <c r="E295" s="750"/>
      <c r="F295" s="750"/>
      <c r="G295" s="750"/>
      <c r="H295" s="750"/>
      <c r="I295" s="750"/>
      <c r="J295" s="750"/>
      <c r="K295" s="750"/>
      <c r="L295" s="750"/>
      <c r="M295" s="26"/>
      <c r="N295" s="87"/>
      <c r="O295" s="87"/>
      <c r="P295" s="87"/>
      <c r="Q295" s="87"/>
      <c r="R295" s="87"/>
      <c r="S295" s="87"/>
      <c r="T295" s="87"/>
      <c r="U295" s="87"/>
    </row>
    <row r="296" spans="2:21" ht="15">
      <c r="B296" s="97"/>
      <c r="C296" s="81"/>
      <c r="D296" s="1059"/>
      <c r="E296" s="1068"/>
      <c r="F296" s="1068"/>
      <c r="G296" s="1068"/>
      <c r="H296" s="1068"/>
      <c r="I296" s="1068"/>
      <c r="J296" s="1068"/>
      <c r="K296" s="1068"/>
      <c r="L296" s="1068"/>
      <c r="M296" s="26"/>
      <c r="N296" s="87"/>
      <c r="O296" s="87"/>
      <c r="P296" s="87"/>
      <c r="Q296" s="87"/>
      <c r="R296" s="87"/>
      <c r="S296" s="87"/>
      <c r="T296" s="87"/>
      <c r="U296" s="87"/>
    </row>
    <row r="297" spans="2:21" ht="15">
      <c r="B297" s="99" t="s">
        <v>748</v>
      </c>
      <c r="C297" s="86"/>
      <c r="D297" s="1064"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64"/>
      <c r="F297" s="1064"/>
      <c r="G297" s="1064"/>
      <c r="H297" s="1064"/>
      <c r="I297" s="1064"/>
      <c r="J297" s="1064"/>
      <c r="K297" s="1064"/>
      <c r="L297" s="1064"/>
      <c r="M297" s="26"/>
      <c r="N297" s="87"/>
      <c r="O297" s="87"/>
      <c r="P297" s="87"/>
      <c r="Q297" s="87"/>
      <c r="R297" s="87"/>
      <c r="S297" s="87"/>
      <c r="T297" s="87"/>
      <c r="U297" s="87"/>
    </row>
    <row r="298" spans="2:21" ht="15">
      <c r="B298" s="100"/>
      <c r="C298" s="15"/>
      <c r="D298" s="1064" t="s">
        <v>26</v>
      </c>
      <c r="E298" s="1064"/>
      <c r="F298" s="1064"/>
      <c r="G298" s="1064"/>
      <c r="H298" s="1064"/>
      <c r="I298" s="1064"/>
      <c r="J298" s="1064"/>
      <c r="K298" s="1064"/>
      <c r="L298" s="1064"/>
      <c r="M298" s="26"/>
      <c r="N298" s="87"/>
      <c r="O298" s="87"/>
      <c r="P298" s="87"/>
      <c r="Q298" s="87"/>
      <c r="R298" s="87"/>
      <c r="S298" s="87"/>
      <c r="T298" s="87"/>
      <c r="U298" s="87"/>
    </row>
    <row r="299" spans="2:21" ht="15">
      <c r="B299" s="100"/>
      <c r="C299" s="15"/>
      <c r="D299" s="1064" t="str">
        <f>"expense is included on line "&amp;B207&amp;"."</f>
        <v>expense is included on line 300.</v>
      </c>
      <c r="E299" s="1064"/>
      <c r="F299" s="1064"/>
      <c r="G299" s="1064"/>
      <c r="H299" s="1064"/>
      <c r="I299" s="1064"/>
      <c r="J299" s="1064"/>
      <c r="K299" s="1064"/>
      <c r="L299" s="1064"/>
      <c r="M299" s="26"/>
      <c r="N299" s="87"/>
      <c r="O299" s="87"/>
      <c r="P299" s="87"/>
      <c r="Q299" s="87"/>
      <c r="R299" s="87"/>
      <c r="S299" s="87"/>
      <c r="T299" s="87"/>
      <c r="U299" s="87"/>
    </row>
    <row r="300" spans="2:21" ht="15">
      <c r="B300" s="100"/>
      <c r="C300" s="15"/>
      <c r="D300" s="1064"/>
      <c r="E300" s="1064"/>
      <c r="F300" s="1064"/>
      <c r="G300" s="1064"/>
      <c r="H300" s="1064"/>
      <c r="I300" s="1064"/>
      <c r="J300" s="1064"/>
      <c r="K300" s="1064"/>
      <c r="L300" s="1064"/>
      <c r="M300" s="15"/>
      <c r="N300" s="87"/>
      <c r="O300" s="87"/>
      <c r="P300" s="87"/>
      <c r="Q300" s="87"/>
      <c r="R300" s="87"/>
      <c r="S300" s="87"/>
      <c r="T300" s="87"/>
      <c r="U300" s="87"/>
    </row>
    <row r="301" spans="2:21" ht="15">
      <c r="B301" s="99" t="s">
        <v>749</v>
      </c>
      <c r="C301" s="15"/>
      <c r="D301" s="117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71"/>
      <c r="F301" s="1171"/>
      <c r="G301" s="1171"/>
      <c r="H301" s="1171"/>
      <c r="I301" s="1171"/>
      <c r="J301" s="1171"/>
      <c r="K301" s="1171"/>
      <c r="L301" s="1064"/>
      <c r="M301" s="15"/>
      <c r="N301" s="87"/>
      <c r="O301" s="87"/>
      <c r="P301" s="87"/>
      <c r="Q301" s="87"/>
      <c r="R301" s="87"/>
      <c r="S301" s="87"/>
      <c r="T301" s="87"/>
      <c r="U301" s="87"/>
    </row>
    <row r="302" spans="2:21" ht="15">
      <c r="B302" s="99"/>
      <c r="C302" s="15"/>
      <c r="D302" s="1171"/>
      <c r="E302" s="1171"/>
      <c r="F302" s="1171"/>
      <c r="G302" s="1171"/>
      <c r="H302" s="1171"/>
      <c r="I302" s="1171"/>
      <c r="J302" s="1171"/>
      <c r="K302" s="1171"/>
      <c r="L302" s="1064"/>
      <c r="M302" s="15"/>
      <c r="N302" s="87"/>
      <c r="O302" s="87"/>
      <c r="P302" s="87"/>
      <c r="Q302" s="87"/>
      <c r="R302" s="87"/>
      <c r="S302" s="87"/>
      <c r="T302" s="87"/>
      <c r="U302" s="87"/>
    </row>
    <row r="303" spans="2:21" ht="15">
      <c r="B303" s="99"/>
      <c r="C303" s="15"/>
      <c r="D303" s="1171"/>
      <c r="E303" s="1171"/>
      <c r="F303" s="1171"/>
      <c r="G303" s="1171"/>
      <c r="H303" s="1171"/>
      <c r="I303" s="1171"/>
      <c r="J303" s="1171"/>
      <c r="K303" s="1171"/>
      <c r="L303" s="1064"/>
      <c r="M303" s="15"/>
      <c r="N303" s="87"/>
      <c r="O303" s="87"/>
      <c r="P303" s="87"/>
      <c r="Q303" s="87"/>
      <c r="R303" s="87"/>
      <c r="S303" s="87"/>
      <c r="T303" s="87"/>
      <c r="U303" s="87"/>
    </row>
    <row r="304" spans="2:21" ht="15">
      <c r="B304" s="99"/>
      <c r="C304" s="15"/>
      <c r="D304" s="1059"/>
      <c r="E304" s="1064"/>
      <c r="F304" s="1064"/>
      <c r="G304" s="1064"/>
      <c r="H304" s="1064"/>
      <c r="I304" s="1064"/>
      <c r="J304" s="1064"/>
      <c r="K304" s="1064"/>
      <c r="L304" s="1064"/>
      <c r="M304" s="15"/>
      <c r="N304" s="87"/>
      <c r="O304" s="87"/>
      <c r="P304" s="87"/>
      <c r="Q304" s="87"/>
      <c r="R304" s="87"/>
      <c r="S304" s="87"/>
      <c r="T304" s="87"/>
      <c r="U304" s="87"/>
    </row>
    <row r="305" spans="2:21" ht="15">
      <c r="B305" s="99" t="s">
        <v>750</v>
      </c>
      <c r="C305" s="15"/>
      <c r="D305" s="115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59"/>
      <c r="F305" s="1159"/>
      <c r="G305" s="1159"/>
      <c r="H305" s="1159"/>
      <c r="I305" s="1159"/>
      <c r="J305" s="1159"/>
      <c r="K305" s="1159"/>
      <c r="L305" s="1064"/>
      <c r="M305" s="15"/>
      <c r="N305" s="87"/>
      <c r="O305" s="87"/>
      <c r="P305" s="87"/>
      <c r="Q305" s="87"/>
      <c r="R305" s="87"/>
      <c r="S305" s="87"/>
      <c r="T305" s="87"/>
      <c r="U305" s="87"/>
    </row>
    <row r="306" spans="2:21" ht="15">
      <c r="B306" s="99"/>
      <c r="C306" s="15"/>
      <c r="D306" s="1159"/>
      <c r="E306" s="1159"/>
      <c r="F306" s="1159"/>
      <c r="G306" s="1159"/>
      <c r="H306" s="1159"/>
      <c r="I306" s="1159"/>
      <c r="J306" s="1159"/>
      <c r="K306" s="1159"/>
      <c r="L306" s="1064"/>
      <c r="M306" s="15"/>
      <c r="N306" s="87"/>
      <c r="O306" s="87"/>
      <c r="P306" s="87"/>
      <c r="Q306" s="87"/>
      <c r="R306" s="87"/>
      <c r="S306" s="87"/>
      <c r="T306" s="87"/>
      <c r="U306" s="87"/>
    </row>
    <row r="307" spans="2:21" ht="15">
      <c r="B307" s="99"/>
      <c r="C307" s="15"/>
      <c r="D307" s="1160"/>
      <c r="E307" s="1160"/>
      <c r="F307" s="1160"/>
      <c r="G307" s="1160"/>
      <c r="H307" s="1160"/>
      <c r="I307" s="1160"/>
      <c r="J307" s="1160"/>
      <c r="K307" s="1160"/>
      <c r="L307" s="1064"/>
      <c r="M307" s="15"/>
      <c r="N307" s="87"/>
      <c r="O307" s="87"/>
      <c r="P307" s="87"/>
      <c r="Q307" s="87"/>
      <c r="R307" s="87"/>
      <c r="S307" s="87"/>
      <c r="T307" s="87"/>
      <c r="U307" s="87"/>
    </row>
    <row r="308" spans="2:21" ht="15">
      <c r="B308" s="99"/>
      <c r="C308" s="15"/>
      <c r="D308" s="116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62"/>
      <c r="F308" s="1162"/>
      <c r="G308" s="1162"/>
      <c r="H308" s="1162"/>
      <c r="I308" s="1162"/>
      <c r="J308" s="1162"/>
      <c r="K308" s="1056"/>
      <c r="L308" s="1064"/>
      <c r="M308" s="15"/>
      <c r="N308" s="87"/>
      <c r="O308" s="87"/>
      <c r="P308" s="87"/>
      <c r="Q308" s="87"/>
      <c r="R308" s="87"/>
      <c r="S308" s="87"/>
      <c r="T308" s="87"/>
      <c r="U308" s="87"/>
    </row>
    <row r="309" spans="2:21" ht="15">
      <c r="B309" s="99"/>
      <c r="C309" s="15"/>
      <c r="D309" s="1162"/>
      <c r="E309" s="1162"/>
      <c r="F309" s="1162"/>
      <c r="G309" s="1162"/>
      <c r="H309" s="1162"/>
      <c r="I309" s="1162"/>
      <c r="J309" s="1162"/>
      <c r="K309" s="1056"/>
      <c r="L309" s="1064"/>
      <c r="M309" s="15"/>
      <c r="N309" s="87"/>
      <c r="O309" s="87"/>
      <c r="P309" s="87"/>
      <c r="Q309" s="87"/>
      <c r="R309" s="87"/>
      <c r="S309" s="87"/>
      <c r="T309" s="87"/>
      <c r="U309" s="87"/>
    </row>
    <row r="310" spans="2:21" ht="15">
      <c r="B310" s="99"/>
      <c r="C310" s="15"/>
      <c r="D310" s="1064" t="str">
        <f>"The company records referenced on lines "&amp;B171&amp;" and "&amp;B172&amp;" is the "&amp;F7&amp;" general ledger."</f>
        <v>The company records referenced on lines 270 and 271 is the KINGSPORT POWER COMPANY general ledger.</v>
      </c>
      <c r="E310" s="1057"/>
      <c r="F310" s="1057"/>
      <c r="G310" s="1057"/>
      <c r="H310" s="1057"/>
      <c r="I310" s="1057"/>
      <c r="J310" s="1057"/>
      <c r="K310" s="1057"/>
      <c r="L310" s="1064"/>
      <c r="M310" s="15"/>
      <c r="N310" s="87"/>
      <c r="O310" s="87"/>
      <c r="P310" s="87"/>
      <c r="Q310" s="87"/>
      <c r="R310" s="87"/>
      <c r="S310" s="87"/>
      <c r="T310" s="87"/>
      <c r="U310" s="87"/>
    </row>
    <row r="311" spans="2:21" ht="15">
      <c r="B311" s="99"/>
      <c r="C311" s="15"/>
      <c r="D311" s="1064"/>
      <c r="E311" s="1057"/>
      <c r="F311" s="1057"/>
      <c r="G311" s="1057"/>
      <c r="H311" s="1057"/>
      <c r="I311" s="1057"/>
      <c r="J311" s="1057"/>
      <c r="K311" s="1057"/>
      <c r="L311" s="1064"/>
      <c r="M311" s="15"/>
      <c r="N311" s="87"/>
      <c r="O311" s="87"/>
      <c r="P311" s="87"/>
      <c r="Q311" s="87"/>
      <c r="R311" s="87"/>
      <c r="S311" s="87"/>
      <c r="T311" s="87"/>
      <c r="U311" s="87"/>
    </row>
    <row r="312" spans="2:21" ht="15">
      <c r="B312" s="99" t="s">
        <v>751</v>
      </c>
      <c r="C312" s="15"/>
      <c r="D312" s="1064" t="s">
        <v>66</v>
      </c>
      <c r="E312" s="764"/>
      <c r="F312" s="764"/>
      <c r="G312" s="764"/>
      <c r="H312" s="764"/>
      <c r="I312" s="764"/>
      <c r="J312" s="764"/>
      <c r="K312" s="764"/>
      <c r="L312" s="1061"/>
      <c r="M312" s="15"/>
      <c r="N312" s="87"/>
      <c r="O312" s="87"/>
      <c r="P312" s="87"/>
      <c r="Q312" s="87"/>
      <c r="R312" s="87"/>
      <c r="S312" s="87"/>
      <c r="T312" s="87"/>
      <c r="U312" s="87"/>
    </row>
    <row r="313" spans="2:21" ht="15">
      <c r="B313" s="99"/>
      <c r="C313" s="15"/>
      <c r="D313" s="1061"/>
      <c r="E313" s="1061"/>
      <c r="F313" s="1061"/>
      <c r="G313" s="1061"/>
      <c r="H313" s="1061"/>
      <c r="I313" s="1061"/>
      <c r="J313" s="1061"/>
      <c r="K313" s="1061"/>
      <c r="L313" s="1061"/>
      <c r="M313" s="15"/>
      <c r="N313" s="87"/>
      <c r="O313" s="87"/>
      <c r="P313" s="87"/>
      <c r="Q313" s="87"/>
      <c r="R313" s="87"/>
      <c r="S313" s="87"/>
      <c r="T313" s="87"/>
      <c r="U313" s="87"/>
    </row>
    <row r="314" spans="2:21" ht="15">
      <c r="B314" s="99" t="s">
        <v>752</v>
      </c>
      <c r="C314" s="15"/>
      <c r="D314" s="1169" t="s">
        <v>793</v>
      </c>
      <c r="E314" s="1145"/>
      <c r="F314" s="1145"/>
      <c r="G314" s="1145"/>
      <c r="H314" s="1145"/>
      <c r="I314" s="1145"/>
      <c r="J314" s="1145"/>
      <c r="K314" s="1064"/>
      <c r="L314" s="1064"/>
      <c r="M314" s="15"/>
      <c r="N314" s="87"/>
      <c r="O314" s="87"/>
      <c r="P314" s="87"/>
      <c r="Q314" s="87"/>
      <c r="R314" s="87"/>
      <c r="S314" s="87"/>
      <c r="T314" s="87"/>
      <c r="U314" s="87"/>
    </row>
    <row r="315" spans="2:21" ht="15">
      <c r="B315" s="99"/>
      <c r="C315" s="15"/>
      <c r="D315" s="1163"/>
      <c r="E315" s="1163"/>
      <c r="F315" s="1163"/>
      <c r="G315" s="1163"/>
      <c r="H315" s="1163"/>
      <c r="I315" s="1163"/>
      <c r="J315" s="1163"/>
      <c r="K315" s="1061"/>
      <c r="L315" s="1061"/>
      <c r="M315" s="15"/>
      <c r="N315" s="87"/>
      <c r="O315" s="87"/>
      <c r="P315" s="87"/>
      <c r="Q315" s="87"/>
      <c r="R315" s="87"/>
      <c r="S315" s="87"/>
      <c r="T315" s="87"/>
      <c r="U315" s="87"/>
    </row>
    <row r="316" spans="2:21" ht="15">
      <c r="B316" s="99"/>
      <c r="C316" s="15"/>
      <c r="D316" s="1145"/>
      <c r="E316" s="1145"/>
      <c r="F316" s="1145"/>
      <c r="G316" s="1145"/>
      <c r="H316" s="1145"/>
      <c r="I316" s="1145"/>
      <c r="J316" s="1145"/>
      <c r="K316" s="1064"/>
      <c r="L316" s="1064"/>
      <c r="M316" s="15"/>
      <c r="N316" s="87"/>
      <c r="O316" s="87"/>
      <c r="P316" s="87"/>
      <c r="Q316" s="87"/>
      <c r="R316" s="87"/>
      <c r="S316" s="87"/>
      <c r="T316" s="87"/>
      <c r="U316" s="87"/>
    </row>
    <row r="317" spans="2:21" ht="15">
      <c r="B317" s="99"/>
      <c r="C317" s="15"/>
      <c r="D317" s="1064"/>
      <c r="E317" s="1064"/>
      <c r="F317" s="1064"/>
      <c r="G317" s="1064"/>
      <c r="H317" s="1064"/>
      <c r="I317" s="1064"/>
      <c r="J317" s="1064"/>
      <c r="K317" s="1064"/>
      <c r="L317" s="1064"/>
      <c r="M317" s="15"/>
      <c r="N317" s="87"/>
      <c r="O317" s="87"/>
      <c r="P317" s="87"/>
      <c r="Q317" s="87"/>
      <c r="R317" s="87"/>
      <c r="S317" s="87"/>
      <c r="T317" s="87"/>
      <c r="U317" s="87"/>
    </row>
    <row r="318" spans="2:21" ht="15">
      <c r="B318" s="97" t="s">
        <v>753</v>
      </c>
      <c r="C318" s="15"/>
      <c r="D318" s="1166"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63"/>
      <c r="F318" s="1163"/>
      <c r="G318" s="1163"/>
      <c r="H318" s="1163"/>
      <c r="I318" s="1163"/>
      <c r="J318" s="1163"/>
      <c r="K318" s="1163"/>
      <c r="L318" s="1061"/>
      <c r="M318" s="15"/>
      <c r="N318" s="87"/>
      <c r="O318" s="87"/>
      <c r="P318" s="87"/>
      <c r="Q318" s="87"/>
      <c r="R318" s="87"/>
      <c r="S318" s="87"/>
      <c r="T318" s="87"/>
      <c r="U318" s="87"/>
    </row>
    <row r="319" spans="2:21" ht="15">
      <c r="B319" s="97"/>
      <c r="C319" s="15"/>
      <c r="D319" s="1145"/>
      <c r="E319" s="1145"/>
      <c r="F319" s="1145"/>
      <c r="G319" s="1145"/>
      <c r="H319" s="1145"/>
      <c r="I319" s="1145"/>
      <c r="J319" s="1145"/>
      <c r="K319" s="1145"/>
      <c r="L319" s="1064"/>
      <c r="M319" s="15"/>
      <c r="N319" s="87"/>
      <c r="O319" s="87"/>
      <c r="P319" s="87"/>
      <c r="Q319" s="87"/>
      <c r="R319" s="87"/>
      <c r="S319" s="87"/>
      <c r="T319" s="87"/>
      <c r="U319" s="87"/>
    </row>
    <row r="320" spans="2:21" ht="15">
      <c r="B320" s="99"/>
      <c r="C320" s="15"/>
      <c r="D320" s="1064"/>
      <c r="E320" s="1064"/>
      <c r="F320" s="1064"/>
      <c r="G320" s="1064"/>
      <c r="H320" s="1064"/>
      <c r="I320" s="1064"/>
      <c r="J320" s="1064"/>
      <c r="K320" s="1064"/>
      <c r="L320" s="1064"/>
      <c r="M320" s="15"/>
      <c r="N320" s="87"/>
      <c r="O320" s="87"/>
      <c r="P320" s="87"/>
      <c r="Q320" s="87"/>
      <c r="R320" s="87"/>
      <c r="S320" s="87"/>
      <c r="T320" s="87"/>
      <c r="U320" s="87"/>
    </row>
    <row r="321" spans="2:21" ht="15">
      <c r="B321" s="97" t="s">
        <v>754</v>
      </c>
      <c r="C321" s="81"/>
      <c r="D321" s="1059" t="s">
        <v>225</v>
      </c>
      <c r="E321" s="1068"/>
      <c r="F321" s="1068"/>
      <c r="G321" s="1068"/>
      <c r="H321" s="1068"/>
      <c r="I321" s="1068"/>
      <c r="J321" s="1068"/>
      <c r="K321" s="1068"/>
      <c r="L321" s="1068"/>
      <c r="M321" s="15"/>
      <c r="N321" s="87"/>
      <c r="O321" s="87"/>
      <c r="P321" s="87"/>
      <c r="Q321" s="87"/>
      <c r="R321" s="87"/>
      <c r="S321" s="87"/>
      <c r="T321" s="87"/>
      <c r="U321" s="87"/>
    </row>
    <row r="322" spans="2:21" ht="15">
      <c r="B322" s="97"/>
      <c r="C322" s="81"/>
      <c r="D322" s="1059" t="s">
        <v>414</v>
      </c>
      <c r="E322" s="1068"/>
      <c r="F322" s="1068"/>
      <c r="G322" s="1068"/>
      <c r="H322" s="1068"/>
      <c r="I322" s="1068"/>
      <c r="J322" s="1068"/>
      <c r="K322" s="1068"/>
      <c r="L322" s="1068"/>
      <c r="M322" s="15"/>
      <c r="N322" s="87"/>
      <c r="O322" s="87"/>
      <c r="P322" s="87"/>
      <c r="Q322" s="87"/>
      <c r="R322" s="87"/>
      <c r="S322" s="87"/>
      <c r="T322" s="87"/>
      <c r="U322" s="87"/>
    </row>
    <row r="323" spans="2:21" ht="15">
      <c r="B323" s="97"/>
      <c r="C323" s="81"/>
      <c r="D323" s="1059" t="s">
        <v>415</v>
      </c>
      <c r="E323" s="1068"/>
      <c r="F323" s="1068"/>
      <c r="G323" s="1068"/>
      <c r="H323" s="1068"/>
      <c r="I323" s="1068"/>
      <c r="J323" s="1068"/>
      <c r="K323" s="1068"/>
      <c r="L323" s="1068"/>
      <c r="M323" s="15"/>
      <c r="N323" s="87"/>
      <c r="O323" s="87"/>
      <c r="P323" s="87"/>
      <c r="Q323" s="87"/>
      <c r="R323" s="87"/>
      <c r="S323" s="87"/>
      <c r="T323" s="87"/>
      <c r="U323" s="87"/>
    </row>
    <row r="324" spans="2:21" ht="15">
      <c r="B324" s="97"/>
      <c r="C324" s="81"/>
      <c r="D324" s="1064" t="s">
        <v>420</v>
      </c>
      <c r="E324" s="1068"/>
      <c r="F324" s="1068"/>
      <c r="G324" s="1068"/>
      <c r="H324" s="1068"/>
      <c r="I324" s="1068"/>
      <c r="J324" s="1068"/>
      <c r="K324" s="1068"/>
      <c r="L324" s="1068"/>
      <c r="M324" s="15"/>
      <c r="N324" s="87"/>
      <c r="O324" s="87"/>
      <c r="P324" s="87"/>
      <c r="Q324" s="87"/>
      <c r="R324" s="87"/>
      <c r="S324" s="87"/>
      <c r="T324" s="87"/>
      <c r="U324" s="87"/>
    </row>
    <row r="325" spans="2:21" ht="15">
      <c r="B325" s="97"/>
      <c r="C325" s="81"/>
      <c r="D325" s="1064"/>
      <c r="E325" s="1068"/>
      <c r="F325" s="1068"/>
      <c r="G325" s="1068"/>
      <c r="H325" s="1068"/>
      <c r="I325" s="1068"/>
      <c r="J325" s="1068"/>
      <c r="K325" s="1068"/>
      <c r="L325" s="1068"/>
      <c r="M325" s="15"/>
      <c r="N325" s="87"/>
      <c r="O325" s="87"/>
      <c r="P325" s="87"/>
      <c r="Q325" s="87"/>
      <c r="R325" s="87"/>
      <c r="S325" s="87"/>
      <c r="T325" s="87"/>
      <c r="U325" s="87"/>
    </row>
    <row r="326" spans="2:21" ht="15" customHeight="1">
      <c r="B326" s="97" t="s">
        <v>755</v>
      </c>
      <c r="C326" s="81"/>
      <c r="D326" s="1159" t="s">
        <v>882</v>
      </c>
      <c r="E326" s="1167"/>
      <c r="F326" s="1167"/>
      <c r="G326" s="1167"/>
      <c r="H326" s="1167"/>
      <c r="I326" s="1167"/>
      <c r="J326" s="1167"/>
      <c r="K326" s="1167"/>
      <c r="L326" s="1168"/>
      <c r="M326" s="15"/>
      <c r="N326" s="87"/>
      <c r="O326" s="87"/>
      <c r="P326" s="87"/>
      <c r="Q326" s="87"/>
      <c r="R326" s="87"/>
      <c r="S326" s="87"/>
      <c r="T326" s="87"/>
      <c r="U326" s="87"/>
    </row>
    <row r="327" spans="2:21" ht="15">
      <c r="B327" s="97"/>
      <c r="C327" s="81"/>
      <c r="D327" s="1167"/>
      <c r="E327" s="1167"/>
      <c r="F327" s="1167"/>
      <c r="G327" s="1167"/>
      <c r="H327" s="1167"/>
      <c r="I327" s="1167"/>
      <c r="J327" s="1167"/>
      <c r="K327" s="1167"/>
      <c r="L327" s="1168"/>
      <c r="M327" s="15"/>
      <c r="N327" s="87"/>
      <c r="O327" s="87"/>
      <c r="P327" s="87"/>
      <c r="Q327" s="87"/>
      <c r="R327" s="87"/>
      <c r="S327" s="87"/>
      <c r="T327" s="87"/>
      <c r="U327" s="87"/>
    </row>
    <row r="328" spans="2:21" ht="15">
      <c r="B328" s="97"/>
      <c r="C328" s="81"/>
      <c r="D328" s="1168"/>
      <c r="E328" s="1168"/>
      <c r="F328" s="1168"/>
      <c r="G328" s="1168"/>
      <c r="H328" s="1168"/>
      <c r="I328" s="1168"/>
      <c r="J328" s="1168"/>
      <c r="K328" s="1168"/>
      <c r="L328" s="1168"/>
      <c r="M328" s="15"/>
      <c r="N328" s="87"/>
      <c r="O328" s="87"/>
      <c r="P328" s="87"/>
      <c r="Q328" s="87"/>
      <c r="R328" s="87"/>
      <c r="S328" s="87"/>
      <c r="T328" s="87"/>
      <c r="U328" s="87"/>
    </row>
    <row r="329" spans="2:21" ht="15">
      <c r="B329" s="97"/>
      <c r="C329" s="81"/>
      <c r="D329" s="789"/>
      <c r="E329" s="26"/>
      <c r="F329" s="26"/>
      <c r="G329" s="26"/>
      <c r="H329" s="26"/>
      <c r="I329" s="26"/>
      <c r="J329" s="26"/>
      <c r="K329" s="26"/>
      <c r="L329" s="26"/>
      <c r="M329" s="15"/>
      <c r="N329" s="87"/>
      <c r="O329" s="87"/>
      <c r="P329" s="87"/>
      <c r="Q329" s="87"/>
      <c r="R329" s="87"/>
      <c r="S329" s="87"/>
      <c r="T329" s="87"/>
      <c r="U329" s="87"/>
    </row>
    <row r="330" spans="2:21" ht="15">
      <c r="B330" s="144" t="s">
        <v>93</v>
      </c>
      <c r="C330" s="81"/>
      <c r="D330" s="57" t="s">
        <v>226</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159</v>
      </c>
      <c r="C332" s="81"/>
      <c r="D332" s="57" t="s">
        <v>200</v>
      </c>
      <c r="E332" s="15"/>
      <c r="F332" s="15"/>
      <c r="G332" s="15"/>
      <c r="H332" s="15"/>
      <c r="I332" s="15"/>
      <c r="J332" s="15"/>
      <c r="K332" s="15"/>
      <c r="L332" s="15"/>
      <c r="M332" s="15"/>
      <c r="N332" s="87"/>
      <c r="O332" s="87"/>
      <c r="P332" s="87"/>
      <c r="Q332" s="87"/>
      <c r="R332" s="87"/>
      <c r="S332" s="87"/>
      <c r="T332" s="87"/>
      <c r="U332" s="87"/>
    </row>
    <row r="333" spans="2:21" ht="15">
      <c r="B333" s="144"/>
      <c r="C333" s="81"/>
      <c r="D333" s="57" t="s">
        <v>79</v>
      </c>
      <c r="E333" s="15"/>
      <c r="F333" s="15"/>
      <c r="G333" s="15"/>
      <c r="H333" s="15"/>
      <c r="I333" s="15"/>
      <c r="J333" s="15"/>
      <c r="K333" s="15"/>
      <c r="L333" s="15"/>
      <c r="M333" s="15"/>
      <c r="N333" s="87"/>
      <c r="O333" s="87"/>
      <c r="P333" s="87"/>
      <c r="Q333" s="87"/>
      <c r="R333" s="87"/>
      <c r="S333" s="87"/>
      <c r="T333" s="87"/>
      <c r="U333" s="87"/>
    </row>
    <row r="334" spans="2:21" ht="15">
      <c r="B334" s="144"/>
      <c r="C334" s="81"/>
      <c r="D334" s="57" t="s">
        <v>80</v>
      </c>
      <c r="E334" s="15"/>
      <c r="F334" s="15"/>
      <c r="G334" s="15"/>
      <c r="H334" s="15"/>
      <c r="I334" s="15"/>
      <c r="J334" s="15"/>
      <c r="K334" s="15"/>
      <c r="L334" s="15"/>
      <c r="M334" s="15"/>
      <c r="N334" s="87"/>
      <c r="O334" s="87"/>
      <c r="P334" s="87"/>
      <c r="Q334" s="87"/>
      <c r="R334" s="87"/>
      <c r="S334" s="87"/>
      <c r="T334" s="87"/>
      <c r="U334" s="87"/>
    </row>
    <row r="335" spans="2:21" ht="15">
      <c r="B335" s="144"/>
      <c r="C335" s="81"/>
      <c r="D335" s="57" t="s">
        <v>81</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201</v>
      </c>
      <c r="E337" s="26" t="s">
        <v>202</v>
      </c>
      <c r="F337" s="535">
        <v>0.35</v>
      </c>
      <c r="G337" s="26"/>
      <c r="H337" s="15"/>
      <c r="I337" s="15"/>
      <c r="J337" s="15"/>
      <c r="K337" s="15"/>
      <c r="L337" s="15"/>
      <c r="M337" s="15"/>
      <c r="N337" s="87"/>
      <c r="O337" s="87"/>
      <c r="P337" s="87"/>
      <c r="Q337" s="87"/>
      <c r="R337" s="87"/>
      <c r="S337" s="87"/>
      <c r="T337" s="87"/>
      <c r="U337" s="87"/>
    </row>
    <row r="338" spans="2:21" ht="15">
      <c r="B338" s="5"/>
      <c r="C338" s="87"/>
      <c r="D338" s="57"/>
      <c r="E338" s="26" t="s">
        <v>203</v>
      </c>
      <c r="F338" s="536">
        <f>+'KGPCo WS G  State Tax Rate'!F12</f>
        <v>0.0649</v>
      </c>
      <c r="G338" s="26" t="s">
        <v>456</v>
      </c>
      <c r="H338" s="15"/>
      <c r="I338" s="15"/>
      <c r="J338" s="15"/>
      <c r="K338" s="15"/>
      <c r="L338" s="15"/>
      <c r="M338" s="15"/>
      <c r="N338" s="87"/>
      <c r="O338" s="87"/>
      <c r="P338" s="87"/>
      <c r="Q338" s="87"/>
      <c r="R338" s="87"/>
      <c r="S338" s="87"/>
      <c r="T338" s="87"/>
      <c r="U338" s="87"/>
    </row>
    <row r="339" spans="2:21" ht="15">
      <c r="B339" s="5"/>
      <c r="C339" s="87"/>
      <c r="D339" s="57"/>
      <c r="E339" s="26" t="s">
        <v>204</v>
      </c>
      <c r="F339" s="535">
        <f>+H215</f>
        <v>0</v>
      </c>
      <c r="G339" s="26" t="s">
        <v>205</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206</v>
      </c>
      <c r="C341" s="81"/>
      <c r="D341" s="57" t="s">
        <v>33</v>
      </c>
      <c r="E341" s="15"/>
      <c r="F341" s="15"/>
      <c r="G341" s="15"/>
      <c r="H341" s="15"/>
      <c r="I341" s="15"/>
      <c r="J341" s="15"/>
      <c r="K341" s="15"/>
      <c r="L341" s="15"/>
      <c r="M341" s="15"/>
      <c r="N341" s="87"/>
      <c r="O341" s="87"/>
      <c r="P341" s="87"/>
      <c r="Q341" s="87"/>
      <c r="R341" s="87"/>
      <c r="S341" s="87"/>
      <c r="T341" s="87"/>
      <c r="U341" s="87"/>
    </row>
    <row r="342" spans="2:21" ht="15">
      <c r="B342" s="16"/>
      <c r="D342" s="57"/>
      <c r="E342" s="15"/>
      <c r="F342" s="15"/>
      <c r="G342" s="15"/>
      <c r="H342" s="15"/>
      <c r="I342" s="15"/>
      <c r="J342" s="15"/>
      <c r="K342" s="15"/>
      <c r="L342" s="15"/>
      <c r="M342" s="15"/>
      <c r="N342" s="87"/>
      <c r="O342" s="87"/>
      <c r="P342" s="87"/>
      <c r="Q342" s="87"/>
      <c r="R342" s="87"/>
      <c r="S342" s="87"/>
      <c r="T342" s="87"/>
      <c r="U342" s="87"/>
    </row>
    <row r="343" spans="2:21" ht="15">
      <c r="B343" s="97" t="s">
        <v>207</v>
      </c>
      <c r="C343" s="81"/>
      <c r="D343" s="57" t="s">
        <v>641</v>
      </c>
      <c r="E343" s="15"/>
      <c r="F343" s="15"/>
      <c r="G343" s="15"/>
      <c r="H343" s="15"/>
      <c r="I343" s="15"/>
      <c r="J343" s="15"/>
      <c r="K343" s="15"/>
      <c r="L343" s="15"/>
      <c r="M343" s="15"/>
      <c r="N343" s="87"/>
      <c r="O343" s="87"/>
      <c r="P343" s="87"/>
      <c r="Q343" s="87"/>
      <c r="R343" s="87"/>
      <c r="S343" s="87"/>
      <c r="T343" s="87"/>
      <c r="U343" s="87"/>
    </row>
    <row r="344" spans="2:21" ht="15">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208</v>
      </c>
      <c r="C345" s="81"/>
      <c r="D345" s="57" t="s">
        <v>287</v>
      </c>
      <c r="E345" s="26"/>
      <c r="F345" s="26"/>
      <c r="G345" s="26"/>
      <c r="H345" s="26"/>
      <c r="I345" s="26"/>
      <c r="J345" s="26"/>
      <c r="K345" s="26"/>
      <c r="L345" s="26"/>
      <c r="M345" s="26"/>
      <c r="N345" s="87"/>
      <c r="O345" s="87"/>
      <c r="P345" s="87"/>
      <c r="Q345" s="87"/>
      <c r="R345" s="87"/>
      <c r="S345" s="87"/>
      <c r="T345" s="87"/>
      <c r="U345" s="87"/>
    </row>
    <row r="346" spans="2:21" ht="15">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209</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43" t="s">
        <v>795</v>
      </c>
      <c r="E349" s="1144"/>
      <c r="F349" s="1144"/>
      <c r="G349" s="1144"/>
      <c r="H349" s="1144"/>
      <c r="I349" s="1144"/>
      <c r="J349" s="1144"/>
      <c r="M349" s="26"/>
      <c r="N349" s="87"/>
      <c r="O349" s="87"/>
      <c r="P349" s="87"/>
      <c r="Q349" s="87"/>
      <c r="R349" s="87"/>
      <c r="S349" s="87"/>
      <c r="T349" s="87"/>
      <c r="U349" s="87"/>
    </row>
    <row r="350" spans="2:21" ht="15">
      <c r="B350" s="100"/>
      <c r="C350" s="15"/>
      <c r="D350" s="1144"/>
      <c r="E350" s="1144"/>
      <c r="F350" s="1144"/>
      <c r="G350" s="1144"/>
      <c r="H350" s="1144"/>
      <c r="I350" s="1144"/>
      <c r="J350" s="1144"/>
      <c r="M350" s="26"/>
      <c r="N350" s="87"/>
      <c r="O350" s="87"/>
      <c r="P350" s="87"/>
      <c r="Q350" s="87"/>
      <c r="R350" s="87"/>
      <c r="S350" s="87"/>
      <c r="T350" s="87"/>
      <c r="U350" s="87"/>
    </row>
    <row r="351" spans="2:21" ht="15">
      <c r="B351" s="100"/>
      <c r="C351" s="15"/>
      <c r="D351" s="1145"/>
      <c r="E351" s="1145"/>
      <c r="F351" s="1145"/>
      <c r="G351" s="1145"/>
      <c r="H351" s="1145"/>
      <c r="I351" s="1145"/>
      <c r="J351" s="1145"/>
      <c r="M351" s="26"/>
      <c r="N351" s="87"/>
      <c r="O351" s="87"/>
      <c r="P351" s="87"/>
      <c r="Q351" s="87"/>
      <c r="R351" s="87"/>
      <c r="S351" s="87"/>
      <c r="T351" s="87"/>
      <c r="U351" s="87"/>
    </row>
    <row r="352" spans="2:21" ht="15">
      <c r="B352" s="100"/>
      <c r="C352" s="15"/>
      <c r="D352" s="1145"/>
      <c r="E352" s="1145"/>
      <c r="F352" s="1145"/>
      <c r="G352" s="1145"/>
      <c r="H352" s="1145"/>
      <c r="I352" s="1145"/>
      <c r="J352" s="1145"/>
      <c r="M352" s="26"/>
      <c r="N352" s="87"/>
      <c r="O352" s="87"/>
      <c r="P352" s="87"/>
      <c r="Q352" s="87"/>
      <c r="R352" s="87"/>
      <c r="S352" s="87"/>
      <c r="T352" s="87"/>
      <c r="U352" s="87"/>
    </row>
    <row r="353" spans="2:21" ht="15">
      <c r="B353" s="100"/>
      <c r="C353" s="15"/>
      <c r="D353" s="1145"/>
      <c r="E353" s="1145"/>
      <c r="F353" s="1145"/>
      <c r="G353" s="1145"/>
      <c r="H353" s="1145"/>
      <c r="I353" s="1145"/>
      <c r="J353" s="1145"/>
      <c r="M353" s="26"/>
      <c r="N353" s="87"/>
      <c r="O353" s="87"/>
      <c r="P353" s="87"/>
      <c r="Q353" s="87"/>
      <c r="R353" s="87"/>
      <c r="S353" s="87"/>
      <c r="T353" s="87"/>
      <c r="U353" s="87"/>
    </row>
    <row r="354" spans="2:21" ht="15">
      <c r="B354" s="100"/>
      <c r="C354" s="15"/>
      <c r="D354" s="1145"/>
      <c r="E354" s="1145"/>
      <c r="F354" s="1145"/>
      <c r="G354" s="1145"/>
      <c r="H354" s="1145"/>
      <c r="I354" s="1145"/>
      <c r="J354" s="1145"/>
      <c r="M354" s="26"/>
      <c r="N354" s="87"/>
      <c r="O354" s="87"/>
      <c r="P354" s="87"/>
      <c r="Q354" s="87"/>
      <c r="R354" s="87"/>
      <c r="S354" s="87"/>
      <c r="T354" s="87"/>
      <c r="U354" s="87"/>
    </row>
    <row r="355" spans="2:21" ht="15">
      <c r="B355" s="100"/>
      <c r="C355" s="15"/>
      <c r="D355" s="1059"/>
      <c r="E355" s="1063"/>
      <c r="F355" s="1063"/>
      <c r="G355" s="1063"/>
      <c r="H355" s="1063"/>
      <c r="I355" s="1063"/>
      <c r="J355" s="1063"/>
      <c r="M355" s="26"/>
      <c r="N355" s="87"/>
      <c r="O355" s="87"/>
      <c r="P355" s="87"/>
      <c r="Q355" s="87"/>
      <c r="R355" s="87"/>
      <c r="S355" s="87"/>
      <c r="T355" s="87"/>
      <c r="U355" s="87"/>
    </row>
    <row r="356" spans="2:21" ht="15">
      <c r="B356" s="97" t="s">
        <v>301</v>
      </c>
      <c r="C356" s="81"/>
      <c r="D356" s="1063" t="s">
        <v>347</v>
      </c>
      <c r="E356" s="1063"/>
      <c r="F356" s="1063"/>
      <c r="G356" s="1063"/>
      <c r="H356" s="1063"/>
      <c r="I356" s="1063"/>
      <c r="J356" s="1063"/>
      <c r="M356" s="26"/>
      <c r="N356" s="87"/>
      <c r="O356" s="87"/>
      <c r="P356" s="87"/>
      <c r="Q356" s="87"/>
      <c r="R356" s="87"/>
      <c r="S356" s="87"/>
      <c r="T356" s="87"/>
      <c r="U356" s="87"/>
    </row>
    <row r="357" spans="2:21" ht="6" customHeight="1">
      <c r="B357" s="97"/>
      <c r="C357" s="81"/>
      <c r="D357" s="1063"/>
      <c r="E357" s="1063"/>
      <c r="F357" s="1063"/>
      <c r="G357" s="1063"/>
      <c r="H357" s="1063"/>
      <c r="I357" s="1063"/>
      <c r="J357" s="1063"/>
      <c r="M357" s="26"/>
      <c r="N357" s="87"/>
      <c r="O357" s="87"/>
      <c r="P357" s="87"/>
      <c r="Q357" s="87"/>
      <c r="R357" s="87"/>
      <c r="S357" s="87"/>
      <c r="T357" s="87"/>
      <c r="U357" s="87"/>
    </row>
    <row r="358" spans="2:21" ht="15">
      <c r="B358" s="971" t="s">
        <v>439</v>
      </c>
      <c r="C358" s="972"/>
      <c r="D358" s="1063" t="s">
        <v>794</v>
      </c>
      <c r="E358" s="1063"/>
      <c r="F358" s="1063"/>
      <c r="G358" s="1063"/>
      <c r="H358" s="1063"/>
      <c r="I358" s="1063"/>
      <c r="J358" s="1063"/>
      <c r="M358" s="26"/>
      <c r="N358" s="87"/>
      <c r="O358" s="87"/>
      <c r="P358" s="87"/>
      <c r="Q358" s="87"/>
      <c r="R358" s="87"/>
      <c r="S358" s="87"/>
      <c r="T358" s="87"/>
      <c r="U358" s="87"/>
    </row>
    <row r="359" spans="2:21" ht="15">
      <c r="B359" s="97"/>
      <c r="C359" s="81"/>
      <c r="D359" s="1063"/>
      <c r="E359" s="1063"/>
      <c r="F359" s="1063"/>
      <c r="G359" s="1063"/>
      <c r="H359" s="1063"/>
      <c r="I359" s="1063"/>
      <c r="J359" s="1063"/>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65"/>
      <c r="E370" s="1165"/>
      <c r="F370" s="1165"/>
      <c r="G370" s="1165"/>
      <c r="H370" s="1165"/>
      <c r="I370" s="1165"/>
      <c r="J370" s="1165"/>
      <c r="M370" s="26"/>
      <c r="N370" s="87"/>
      <c r="O370" s="87"/>
      <c r="P370" s="87"/>
      <c r="Q370" s="87"/>
      <c r="R370" s="87"/>
      <c r="S370" s="87"/>
      <c r="T370" s="87"/>
      <c r="U370" s="87"/>
    </row>
    <row r="371" spans="2:21" ht="15">
      <c r="B371"/>
      <c r="C371"/>
      <c r="D371" s="1165"/>
      <c r="E371" s="1165"/>
      <c r="F371" s="1165"/>
      <c r="G371" s="1165"/>
      <c r="H371" s="1165"/>
      <c r="I371" s="1165"/>
      <c r="J371" s="1165"/>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349</v>
      </c>
      <c r="J383" s="201"/>
      <c r="K383" s="87"/>
      <c r="L383" s="87"/>
      <c r="M383" s="87"/>
      <c r="N383" s="87"/>
      <c r="O383" s="87"/>
      <c r="P383" s="87"/>
      <c r="Q383" s="87"/>
      <c r="R383" s="87"/>
      <c r="S383" s="87"/>
      <c r="T383" s="87"/>
      <c r="U383" s="87"/>
    </row>
    <row r="384" spans="2:21" ht="15">
      <c r="B384" s="16"/>
      <c r="H384" s="87"/>
      <c r="I384" s="200" t="s">
        <v>724</v>
      </c>
      <c r="J384" s="201">
        <v>1</v>
      </c>
      <c r="K384" s="87"/>
      <c r="L384" s="87"/>
      <c r="M384" s="87"/>
      <c r="N384" s="87"/>
      <c r="O384" s="87"/>
      <c r="P384" s="87"/>
      <c r="Q384" s="87"/>
      <c r="R384" s="87"/>
      <c r="S384" s="87"/>
      <c r="T384" s="87"/>
      <c r="U384" s="87"/>
    </row>
    <row r="385" spans="2:21" ht="15">
      <c r="B385" s="16"/>
      <c r="H385" s="87"/>
      <c r="I385" s="200" t="s">
        <v>191</v>
      </c>
      <c r="J385" s="201">
        <f>'KGPCo Historic TCOS'!$J$70</f>
        <v>0.15453628874070158</v>
      </c>
      <c r="K385" s="87"/>
      <c r="L385" s="87"/>
      <c r="M385" s="87"/>
      <c r="N385" s="87"/>
      <c r="O385" s="87"/>
      <c r="P385" s="87"/>
      <c r="Q385" s="87"/>
      <c r="R385" s="87"/>
      <c r="S385" s="87"/>
      <c r="T385" s="87"/>
      <c r="U385" s="87"/>
    </row>
    <row r="386" spans="2:21" ht="15">
      <c r="B386" s="16"/>
      <c r="H386" s="87"/>
      <c r="I386" s="200" t="s">
        <v>25</v>
      </c>
      <c r="J386" s="201">
        <f>'KGPCo Historic TCOS'!$J$71</f>
        <v>0.15561768504854828</v>
      </c>
      <c r="K386" s="87"/>
      <c r="L386" s="87"/>
      <c r="M386" s="87"/>
      <c r="N386" s="87"/>
      <c r="O386" s="87"/>
      <c r="P386" s="87"/>
      <c r="Q386" s="87"/>
      <c r="R386" s="87"/>
      <c r="S386" s="87"/>
      <c r="T386" s="87"/>
      <c r="U386" s="87"/>
    </row>
    <row r="387" spans="2:21" ht="15">
      <c r="B387" s="5"/>
      <c r="C387" s="87"/>
      <c r="D387" s="87"/>
      <c r="E387" s="87"/>
      <c r="F387" s="87"/>
      <c r="G387" s="87"/>
      <c r="H387" s="87"/>
      <c r="I387" s="200" t="s">
        <v>722</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192</v>
      </c>
      <c r="J388" s="201">
        <f>$J$100</f>
        <v>0.12939189520750893</v>
      </c>
      <c r="K388" s="87"/>
      <c r="L388" s="87"/>
      <c r="M388" s="87"/>
      <c r="N388" s="87"/>
      <c r="O388" s="87"/>
      <c r="P388" s="87"/>
      <c r="Q388" s="87"/>
      <c r="R388" s="87"/>
      <c r="S388" s="87"/>
      <c r="T388" s="87"/>
      <c r="U388" s="87"/>
    </row>
    <row r="389" spans="2:21" ht="15">
      <c r="B389" s="5"/>
      <c r="C389" s="87"/>
      <c r="D389" s="87"/>
      <c r="E389" s="87"/>
      <c r="F389" s="87"/>
      <c r="G389" s="87"/>
      <c r="H389" s="87"/>
      <c r="I389" s="200" t="s">
        <v>715</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646</v>
      </c>
      <c r="J390" s="201">
        <f>$J$75</f>
        <v>1</v>
      </c>
      <c r="K390" s="59"/>
      <c r="L390" s="59"/>
      <c r="M390" s="59"/>
    </row>
    <row r="391" spans="2:13" ht="15">
      <c r="B391" s="9"/>
      <c r="C391" s="59"/>
      <c r="D391" s="59"/>
      <c r="E391" s="59"/>
      <c r="F391" s="59"/>
      <c r="G391" s="59"/>
      <c r="H391" s="59"/>
      <c r="I391" s="200" t="s">
        <v>727</v>
      </c>
      <c r="J391" s="201">
        <f>$L$241</f>
        <v>0.1151916355991698</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I140:J140"/>
    <mergeCell ref="D35:L35"/>
    <mergeCell ref="D301:K303"/>
    <mergeCell ref="G253:H253"/>
    <mergeCell ref="E182:E183"/>
    <mergeCell ref="B17:I18"/>
    <mergeCell ref="I53:J53"/>
    <mergeCell ref="I56:J56"/>
    <mergeCell ref="I137:J137"/>
    <mergeCell ref="D305:K307"/>
    <mergeCell ref="D370:J371"/>
    <mergeCell ref="D280:K281"/>
    <mergeCell ref="D318:K319"/>
    <mergeCell ref="D308:J309"/>
    <mergeCell ref="D326:L328"/>
    <mergeCell ref="D314:J316"/>
    <mergeCell ref="D349:J354"/>
  </mergeCells>
  <printOptions/>
  <pageMargins left="0.26" right="0.43" top="1" bottom="1" header="0.86" footer="0.5"/>
  <pageSetup fitToHeight="5" horizontalDpi="600" verticalDpi="600" orientation="portrait" scale="44"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5"/>
  <sheetViews>
    <sheetView defaultGridColor="0" zoomScale="70" zoomScaleNormal="70" zoomScalePageLayoutView="0" colorId="22" workbookViewId="0" topLeftCell="A1">
      <pane ySplit="9" topLeftCell="W10" activePane="bottomLeft" state="frozen"/>
      <selection pane="topLeft" activeCell="A1" sqref="A1"/>
      <selection pane="bottomLeft" activeCell="A1" sqref="A1"/>
    </sheetView>
  </sheetViews>
  <sheetFormatPr defaultColWidth="14.7109375" defaultRowHeight="12.75"/>
  <cols>
    <col min="1" max="1" width="55.8515625" style="1018" customWidth="1"/>
    <col min="2" max="2" width="14.421875" style="1018" customWidth="1"/>
    <col min="3" max="3" width="16.8515625" style="1018" customWidth="1"/>
    <col min="4" max="4" width="6.8515625" style="1018" customWidth="1"/>
    <col min="5" max="16384" width="14.7109375" style="1018" customWidth="1"/>
  </cols>
  <sheetData>
    <row r="1" spans="1:12" ht="19.5">
      <c r="A1" s="1201" t="s">
        <v>517</v>
      </c>
      <c r="B1" s="1201"/>
      <c r="C1" s="1201"/>
      <c r="D1" s="1201"/>
      <c r="E1" s="1017"/>
      <c r="F1" s="1017"/>
      <c r="G1" s="1017"/>
      <c r="H1" s="1017"/>
      <c r="I1" s="1017"/>
      <c r="J1" s="1017"/>
      <c r="K1" s="1017"/>
      <c r="L1" s="1017"/>
    </row>
    <row r="2" spans="1:4" ht="15.75">
      <c r="A2" s="1203" t="s">
        <v>518</v>
      </c>
      <c r="B2" s="1203"/>
      <c r="C2" s="1203"/>
      <c r="D2" s="1203"/>
    </row>
    <row r="3" spans="1:4" ht="19.5">
      <c r="A3" s="1201" t="s">
        <v>519</v>
      </c>
      <c r="B3" s="1201"/>
      <c r="C3" s="1201"/>
      <c r="D3" s="1201"/>
    </row>
    <row r="4" spans="1:4" ht="19.5">
      <c r="A4" s="1201" t="s">
        <v>520</v>
      </c>
      <c r="B4" s="1201"/>
      <c r="C4" s="1201"/>
      <c r="D4" s="1201"/>
    </row>
    <row r="5" spans="1:4" ht="19.5">
      <c r="A5" s="1201" t="s">
        <v>521</v>
      </c>
      <c r="B5" s="1201"/>
      <c r="C5" s="1201"/>
      <c r="D5" s="1201"/>
    </row>
    <row r="6" spans="1:4" ht="19.5">
      <c r="A6" s="1201" t="s">
        <v>36</v>
      </c>
      <c r="B6" s="1201"/>
      <c r="C6" s="1201"/>
      <c r="D6" s="1201"/>
    </row>
    <row r="7" spans="1:3" ht="15">
      <c r="A7" s="1019"/>
      <c r="B7" s="1019"/>
      <c r="C7" s="1020" t="s">
        <v>709</v>
      </c>
    </row>
    <row r="8" spans="1:2" ht="15.75">
      <c r="A8" s="1019"/>
      <c r="B8" s="1021" t="s">
        <v>522</v>
      </c>
    </row>
    <row r="9" spans="1:4" ht="15.75">
      <c r="A9" s="1020"/>
      <c r="B9" s="1021" t="s">
        <v>523</v>
      </c>
      <c r="C9" s="1021" t="s">
        <v>524</v>
      </c>
      <c r="D9" s="1021"/>
    </row>
    <row r="10" spans="1:3" ht="15.75" thickBot="1">
      <c r="A10" s="1022"/>
      <c r="B10" s="1019"/>
      <c r="C10" s="1023" t="s">
        <v>447</v>
      </c>
    </row>
    <row r="11" spans="1:3" ht="15">
      <c r="A11" s="1024" t="s">
        <v>525</v>
      </c>
      <c r="B11" s="1025"/>
      <c r="C11" s="1026"/>
    </row>
    <row r="12" spans="2:4" ht="15">
      <c r="B12" s="1027"/>
      <c r="C12" s="1028"/>
      <c r="D12" s="1029"/>
    </row>
    <row r="13" spans="1:4" ht="15">
      <c r="A13" s="1018" t="s">
        <v>526</v>
      </c>
      <c r="B13" s="1030">
        <v>352</v>
      </c>
      <c r="C13" s="1028">
        <v>0.021</v>
      </c>
      <c r="D13" s="1029"/>
    </row>
    <row r="14" spans="1:4" ht="15">
      <c r="A14" s="1018" t="s">
        <v>527</v>
      </c>
      <c r="B14" s="1030">
        <v>353</v>
      </c>
      <c r="C14" s="1028">
        <v>0.0257</v>
      </c>
      <c r="D14" s="1029"/>
    </row>
    <row r="15" spans="1:4" ht="15">
      <c r="A15" s="1018" t="s">
        <v>528</v>
      </c>
      <c r="B15" s="1030">
        <v>354</v>
      </c>
      <c r="C15" s="1028">
        <v>0.0191</v>
      </c>
      <c r="D15" s="1029"/>
    </row>
    <row r="16" spans="1:4" ht="15">
      <c r="A16" s="1018" t="s">
        <v>529</v>
      </c>
      <c r="B16" s="1030">
        <v>355</v>
      </c>
      <c r="C16" s="1028">
        <v>0.042</v>
      </c>
      <c r="D16" s="1029"/>
    </row>
    <row r="17" spans="1:4" ht="15">
      <c r="A17" s="1018" t="s">
        <v>530</v>
      </c>
      <c r="B17" s="1030">
        <v>356</v>
      </c>
      <c r="C17" s="1028">
        <v>0.025</v>
      </c>
      <c r="D17" s="1029"/>
    </row>
    <row r="18" spans="1:3" ht="15">
      <c r="A18" s="1031" t="s">
        <v>531</v>
      </c>
      <c r="B18" s="1030">
        <v>357</v>
      </c>
      <c r="C18" s="1032" t="s">
        <v>827</v>
      </c>
    </row>
    <row r="19" spans="1:4" ht="15">
      <c r="A19" s="1031" t="s">
        <v>532</v>
      </c>
      <c r="B19" s="1030">
        <v>358</v>
      </c>
      <c r="C19" s="1032" t="s">
        <v>827</v>
      </c>
      <c r="D19" s="1029"/>
    </row>
    <row r="20" spans="1:4" ht="15.75">
      <c r="A20" s="1033" t="s">
        <v>533</v>
      </c>
      <c r="B20" s="1034"/>
      <c r="C20" s="1035">
        <v>0.0259</v>
      </c>
      <c r="D20" s="1029"/>
    </row>
    <row r="21" spans="1:4" ht="15.75">
      <c r="A21" s="1033"/>
      <c r="B21" s="1034"/>
      <c r="C21" s="1035"/>
      <c r="D21" s="1029"/>
    </row>
    <row r="22" spans="1:3" ht="15.75">
      <c r="A22" s="1018" t="s">
        <v>534</v>
      </c>
      <c r="B22" s="1036"/>
      <c r="C22" s="1037"/>
    </row>
    <row r="23" spans="1:4" ht="15.75" customHeight="1">
      <c r="A23" s="1204"/>
      <c r="B23" s="1204"/>
      <c r="C23" s="1204"/>
      <c r="D23" s="1204"/>
    </row>
    <row r="24" spans="1:4" ht="15.75" customHeight="1">
      <c r="A24" s="1204" t="s">
        <v>535</v>
      </c>
      <c r="B24" s="1204"/>
      <c r="C24" s="1204"/>
      <c r="D24" s="1204"/>
    </row>
    <row r="25" spans="1:4" ht="16.5" customHeight="1">
      <c r="A25" s="1038"/>
      <c r="B25" s="1038"/>
      <c r="C25" s="1038"/>
      <c r="D25" s="1038"/>
    </row>
    <row r="26" spans="1:3" ht="15">
      <c r="A26" s="1204" t="s">
        <v>914</v>
      </c>
      <c r="B26" s="1204"/>
      <c r="C26" s="1204"/>
    </row>
    <row r="27" spans="1:3" ht="15">
      <c r="A27" s="1204"/>
      <c r="B27" s="1204"/>
      <c r="C27" s="1204"/>
    </row>
    <row r="28" spans="2:3" ht="15">
      <c r="B28" s="1019"/>
      <c r="C28" s="1028"/>
    </row>
    <row r="29" spans="1:4" ht="15">
      <c r="A29" s="1204"/>
      <c r="B29" s="1204"/>
      <c r="C29" s="1204"/>
      <c r="D29" s="1204"/>
    </row>
    <row r="30" spans="1:3" ht="15.75">
      <c r="A30" s="1039" t="s">
        <v>536</v>
      </c>
      <c r="B30" s="1019"/>
      <c r="C30" s="1028"/>
    </row>
    <row r="31" spans="1:4" ht="15" customHeight="1">
      <c r="A31" s="1202" t="s">
        <v>58</v>
      </c>
      <c r="B31" s="1202"/>
      <c r="C31" s="1202"/>
      <c r="D31" s="139"/>
    </row>
    <row r="32" spans="1:4" ht="15">
      <c r="A32" s="1202"/>
      <c r="B32" s="1202"/>
      <c r="C32" s="1202"/>
      <c r="D32" s="139"/>
    </row>
    <row r="33" spans="1:4" ht="15">
      <c r="A33" s="1202"/>
      <c r="B33" s="1202"/>
      <c r="C33" s="1202"/>
      <c r="D33" s="139"/>
    </row>
    <row r="34" spans="1:4" ht="15">
      <c r="A34" s="1202"/>
      <c r="B34" s="1202"/>
      <c r="C34" s="1202"/>
      <c r="D34" s="139"/>
    </row>
    <row r="35" spans="1:4" ht="15">
      <c r="A35" s="1202"/>
      <c r="B35" s="1202"/>
      <c r="C35" s="1202"/>
      <c r="D35" s="139"/>
    </row>
  </sheetData>
  <sheetProtection/>
  <mergeCells count="11">
    <mergeCell ref="A1:D1"/>
    <mergeCell ref="A2:D2"/>
    <mergeCell ref="A29:D29"/>
    <mergeCell ref="A23:D23"/>
    <mergeCell ref="A24:D24"/>
    <mergeCell ref="A26:C27"/>
    <mergeCell ref="A3:D3"/>
    <mergeCell ref="A4:D4"/>
    <mergeCell ref="A6:D6"/>
    <mergeCell ref="A5:D5"/>
    <mergeCell ref="A31:C35"/>
  </mergeCells>
  <printOptions horizontalCentered="1"/>
  <pageMargins left="0.55" right="0.55" top="1.25" bottom="0.75" header="0.75" footer="0.27"/>
  <pageSetup fitToHeight="1" fitToWidth="1" horizontalDpi="600" verticalDpi="600" orientation="portrait" scale="90" r:id="rId1"/>
  <headerFooter alignWithMargins="0">
    <oddHeader>&amp;RFormula Rate 
&amp;A
Page &amp;P of &amp;N</oddHeader>
  </headerFooter>
  <rowBreaks count="1" manualBreakCount="1">
    <brk id="9" max="3" man="1"/>
  </rowBreaks>
</worksheet>
</file>

<file path=xl/worksheets/sheet3.xml><?xml version="1.0" encoding="utf-8"?>
<worksheet xmlns="http://schemas.openxmlformats.org/spreadsheetml/2006/main" xmlns:r="http://schemas.openxmlformats.org/officeDocument/2006/relationships">
  <dimension ref="B1:U1249"/>
  <sheetViews>
    <sheetView zoomScale="75" zoomScaleNormal="75" zoomScalePageLayoutView="0" workbookViewId="0" topLeftCell="A1">
      <selection activeCell="A1" sqref="A1"/>
    </sheetView>
  </sheetViews>
  <sheetFormatPr defaultColWidth="9.851562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9.8515625" style="16" customWidth="1"/>
  </cols>
  <sheetData>
    <row r="1" spans="2:14" ht="15.75">
      <c r="B1" s="92"/>
      <c r="C1" s="13"/>
      <c r="D1" s="135"/>
      <c r="E1" s="66"/>
      <c r="F1" s="66"/>
      <c r="G1" s="67"/>
      <c r="H1" s="13"/>
      <c r="I1" s="14"/>
      <c r="J1" s="14"/>
      <c r="K1" s="14"/>
      <c r="L1" s="15"/>
      <c r="N1">
        <f>'KGPCo Historic TCOS'!O1</f>
        <v>2011</v>
      </c>
    </row>
    <row r="2" spans="2:14" ht="15">
      <c r="B2" s="92"/>
      <c r="C2" s="13"/>
      <c r="D2" s="13"/>
      <c r="E2" s="13"/>
      <c r="F2" s="13"/>
      <c r="G2" s="13"/>
      <c r="H2" s="13"/>
      <c r="I2" s="13"/>
      <c r="J2" s="13"/>
      <c r="K2" s="13"/>
      <c r="L2" s="13"/>
      <c r="N2">
        <f>'KGPCo Historic TCOS'!O2</f>
        <v>2012</v>
      </c>
    </row>
    <row r="3" spans="2:12" ht="15">
      <c r="B3" s="92"/>
      <c r="C3" s="13"/>
      <c r="D3" s="17"/>
      <c r="E3" s="17"/>
      <c r="F3" s="11" t="s">
        <v>280</v>
      </c>
      <c r="G3" s="90"/>
      <c r="H3" s="90"/>
      <c r="J3" s="17"/>
      <c r="K3" s="18"/>
      <c r="L3" s="18"/>
    </row>
    <row r="4" spans="2:12" ht="15">
      <c r="B4" s="92"/>
      <c r="C4" s="13"/>
      <c r="D4" s="17"/>
      <c r="E4" s="19"/>
      <c r="F4" s="11" t="s">
        <v>281</v>
      </c>
      <c r="G4" s="90"/>
      <c r="H4" s="90"/>
      <c r="J4" s="19"/>
      <c r="K4" s="18"/>
      <c r="L4" s="18"/>
    </row>
    <row r="5" spans="2:12" ht="15">
      <c r="B5" s="92"/>
      <c r="C5" s="13"/>
      <c r="D5" s="18"/>
      <c r="E5" s="18"/>
      <c r="F5" s="12" t="str">
        <f>"Utilizing Actual Cost Data for "&amp;'KGPCo Historic TCOS'!O1&amp;" with Average Ratebase Balances"</f>
        <v>Utilizing Actual Cost Data for 2011 with Average Ratebase Balances</v>
      </c>
      <c r="G5" s="90"/>
      <c r="H5" s="90"/>
      <c r="J5" s="18"/>
      <c r="K5" s="18"/>
      <c r="L5" s="18"/>
    </row>
    <row r="6" spans="2:12" ht="15">
      <c r="B6" s="93"/>
      <c r="C6" s="20"/>
      <c r="D6" s="18"/>
      <c r="F6" s="769"/>
      <c r="H6" s="21"/>
      <c r="I6" s="21"/>
      <c r="J6" s="21"/>
      <c r="K6" s="21"/>
      <c r="L6" s="18"/>
    </row>
    <row r="7" spans="2:12" ht="15.75">
      <c r="B7" s="93"/>
      <c r="C7" s="20"/>
      <c r="D7"/>
      <c r="E7" s="18"/>
      <c r="F7" s="499" t="str">
        <f>'KGPCo Historic TCOS'!F7</f>
        <v>KINGSPORT POWER COMPANY</v>
      </c>
      <c r="G7" s="22"/>
      <c r="H7" s="18"/>
      <c r="I7" s="18"/>
      <c r="J7" s="18"/>
      <c r="K7" s="18"/>
      <c r="L7"/>
    </row>
    <row r="8" spans="2:12" ht="15">
      <c r="B8" s="93"/>
      <c r="C8" s="20"/>
      <c r="D8" s="18"/>
      <c r="E8" s="18"/>
      <c r="F8" s="216"/>
      <c r="G8" s="22"/>
      <c r="H8" s="18"/>
      <c r="I8" s="18"/>
      <c r="J8" s="18"/>
      <c r="K8" s="18"/>
      <c r="L8"/>
    </row>
    <row r="9" spans="2:12" ht="15">
      <c r="B9" s="93" t="s">
        <v>764</v>
      </c>
      <c r="C9" s="20"/>
      <c r="D9" s="18"/>
      <c r="E9" s="18"/>
      <c r="F9" s="18"/>
      <c r="G9" s="22"/>
      <c r="H9" s="18"/>
      <c r="I9" s="18"/>
      <c r="J9" s="18"/>
      <c r="K9" s="18"/>
      <c r="L9" s="20" t="s">
        <v>710</v>
      </c>
    </row>
    <row r="10" spans="2:12" ht="15.75" thickBot="1">
      <c r="B10" s="94" t="s">
        <v>712</v>
      </c>
      <c r="C10" s="25"/>
      <c r="D10" s="18"/>
      <c r="E10" s="25"/>
      <c r="F10" s="18"/>
      <c r="G10" s="18"/>
      <c r="H10" s="18"/>
      <c r="I10" s="18"/>
      <c r="J10" s="18"/>
      <c r="K10" s="18"/>
      <c r="L10" s="24" t="s">
        <v>765</v>
      </c>
    </row>
    <row r="11" spans="2:12" ht="15">
      <c r="B11" s="93">
        <v>1</v>
      </c>
      <c r="C11" s="20"/>
      <c r="D11" s="88" t="s">
        <v>706</v>
      </c>
      <c r="E11" s="26" t="str">
        <f>"(ln "&amp;B213&amp;")"</f>
        <v>(ln 138)</v>
      </c>
      <c r="F11" s="26"/>
      <c r="G11" s="27"/>
      <c r="H11" s="28"/>
      <c r="I11" s="18"/>
      <c r="J11" s="18"/>
      <c r="K11" s="18"/>
      <c r="L11" s="69">
        <f>+L213</f>
        <v>2490593.4632378435</v>
      </c>
    </row>
    <row r="12" spans="2:12" ht="15.75" thickBot="1">
      <c r="B12" s="93"/>
      <c r="C12" s="20"/>
      <c r="E12" s="306"/>
      <c r="F12" s="29"/>
      <c r="G12" s="24" t="s">
        <v>713</v>
      </c>
      <c r="H12" s="19"/>
      <c r="I12" s="30" t="s">
        <v>714</v>
      </c>
      <c r="J12" s="30"/>
      <c r="K12" s="18"/>
      <c r="L12" s="27"/>
    </row>
    <row r="13" spans="2:12" ht="15">
      <c r="B13" s="93">
        <f>+B11+1</f>
        <v>2</v>
      </c>
      <c r="C13" s="20"/>
      <c r="D13" s="89" t="s">
        <v>763</v>
      </c>
      <c r="E13" s="333" t="s">
        <v>179</v>
      </c>
      <c r="F13" s="29"/>
      <c r="G13" s="130">
        <f>+'KGPCo WS E Rev Credits'!K25</f>
        <v>158042</v>
      </c>
      <c r="H13" s="29"/>
      <c r="I13" s="49" t="s">
        <v>724</v>
      </c>
      <c r="J13" s="50">
        <f>VLOOKUP(I13,APCo_TU_Allocators,2,FALSE)</f>
        <v>1</v>
      </c>
      <c r="K13" s="19"/>
      <c r="L13" s="160">
        <f>+J13*G13</f>
        <v>158042</v>
      </c>
    </row>
    <row r="14" spans="2:12" ht="15">
      <c r="B14" s="93"/>
      <c r="C14" s="20"/>
      <c r="D14" s="89"/>
      <c r="F14" s="19"/>
      <c r="L14" s="581"/>
    </row>
    <row r="15" spans="2:12" ht="30.75" thickBot="1">
      <c r="B15" s="97">
        <f>+B13+1</f>
        <v>3</v>
      </c>
      <c r="C15" s="81"/>
      <c r="D15" s="141" t="s">
        <v>368</v>
      </c>
      <c r="E15" s="106" t="str">
        <f>"(ln "&amp;B11&amp;" less ln "&amp;B13&amp;")"</f>
        <v>(ln 1 less ln 2)</v>
      </c>
      <c r="F15" s="18"/>
      <c r="H15" s="19"/>
      <c r="I15" s="32"/>
      <c r="J15" s="19"/>
      <c r="K15" s="19"/>
      <c r="L15" s="305">
        <f>+L11-L13</f>
        <v>2332551.4632378435</v>
      </c>
    </row>
    <row r="16" spans="2:12" ht="15.75" thickTop="1">
      <c r="B16" s="97"/>
      <c r="C16" s="81"/>
      <c r="D16" s="89"/>
      <c r="E16" s="106"/>
      <c r="F16" s="18"/>
      <c r="H16" s="19"/>
      <c r="I16" s="32"/>
      <c r="J16" s="19"/>
      <c r="K16" s="19"/>
      <c r="L16" s="107"/>
    </row>
    <row r="17" spans="2:9" ht="15" customHeight="1">
      <c r="B17" s="1151"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51"/>
      <c r="D17" s="1151"/>
      <c r="E17" s="1151"/>
      <c r="F17" s="1151"/>
      <c r="G17" s="1151"/>
      <c r="H17" s="1151"/>
      <c r="I17" s="1151"/>
    </row>
    <row r="18" spans="2:9" ht="37.5" customHeight="1">
      <c r="B18" s="1151"/>
      <c r="C18" s="1151"/>
      <c r="D18" s="1151"/>
      <c r="E18" s="1151"/>
      <c r="F18" s="1151"/>
      <c r="G18" s="1151"/>
      <c r="H18" s="1151"/>
      <c r="I18" s="1151"/>
    </row>
    <row r="19" spans="2:9" ht="15" customHeight="1">
      <c r="B19" s="685"/>
      <c r="C19" s="685"/>
      <c r="D19" s="685"/>
      <c r="E19" s="685"/>
      <c r="F19" s="685"/>
      <c r="G19" s="685"/>
      <c r="H19" s="685"/>
      <c r="I19" s="685"/>
    </row>
    <row r="20" spans="2:12" ht="15">
      <c r="B20" s="93">
        <f>+B15+1</f>
        <v>4</v>
      </c>
      <c r="C20" s="81"/>
      <c r="D20" s="332" t="s">
        <v>606</v>
      </c>
      <c r="E20" s="333"/>
      <c r="F20" s="29"/>
      <c r="G20" s="123">
        <f>+'KGPCo WS K TRUE-UP RTEP RR'!N20</f>
        <v>0</v>
      </c>
      <c r="H20" s="29"/>
      <c r="I20" s="49" t="s">
        <v>724</v>
      </c>
      <c r="J20" s="50">
        <f>VLOOKUP(I20,APCo_TU_Allocators,2,FALSE)</f>
        <v>1</v>
      </c>
      <c r="K20" s="26"/>
      <c r="L20" s="334">
        <f>+J20*G20</f>
        <v>0</v>
      </c>
    </row>
    <row r="21" spans="2:12" ht="15">
      <c r="B21" s="93"/>
      <c r="C21" s="81"/>
      <c r="D21" s="332"/>
      <c r="E21" s="106"/>
      <c r="F21" s="29"/>
      <c r="G21" s="123"/>
      <c r="H21" s="29"/>
      <c r="I21" s="29"/>
      <c r="J21" s="50"/>
      <c r="K21" s="26"/>
      <c r="L21" s="334"/>
    </row>
    <row r="22" spans="2:11" ht="15">
      <c r="B22" s="97">
        <f>+B20+1</f>
        <v>5</v>
      </c>
      <c r="C22" s="81"/>
      <c r="D22" s="332" t="s">
        <v>250</v>
      </c>
      <c r="E22" s="333"/>
      <c r="F22" s="18"/>
      <c r="G22" s="335"/>
      <c r="H22" s="18"/>
      <c r="I22" s="13"/>
      <c r="J22" s="18"/>
      <c r="K22" s="18"/>
    </row>
    <row r="23" spans="2:12" ht="15">
      <c r="B23" s="93">
        <f>B22+1</f>
        <v>6</v>
      </c>
      <c r="C23" s="81"/>
      <c r="D23" s="57" t="s">
        <v>98</v>
      </c>
      <c r="E23" s="26" t="str">
        <f>"( (ln "&amp;B11&amp;" - ln "&amp;B171&amp;" - ln "&amp;B172&amp;")/ ln "&amp;B91&amp;" x 100)"</f>
        <v>( (ln 1 - ln 105 - ln 106)/ ln 48 x 100)</v>
      </c>
      <c r="F23" s="20"/>
      <c r="G23" s="20"/>
      <c r="H23" s="20"/>
      <c r="I23" s="336"/>
      <c r="J23" s="336"/>
      <c r="K23" s="336"/>
      <c r="L23" s="337">
        <f>IF(L11=0,0,(L11-L171-L172)/L91)</f>
        <v>0.2594928262889494</v>
      </c>
    </row>
    <row r="24" spans="2:12" ht="15">
      <c r="B24" s="93">
        <f>B23+1</f>
        <v>7</v>
      </c>
      <c r="C24" s="81"/>
      <c r="D24" s="57" t="s">
        <v>99</v>
      </c>
      <c r="E24" s="26" t="str">
        <f>"(ln "&amp;B23&amp;" / 12)"</f>
        <v>(ln 6 / 12)</v>
      </c>
      <c r="F24" s="20"/>
      <c r="G24" s="20"/>
      <c r="H24" s="20"/>
      <c r="I24" s="336"/>
      <c r="J24" s="336"/>
      <c r="K24" s="336"/>
      <c r="L24" s="338">
        <f>L23/12</f>
        <v>0.02162440219074578</v>
      </c>
    </row>
    <row r="25" spans="2:12" ht="15">
      <c r="B25" s="93"/>
      <c r="C25" s="81"/>
      <c r="D25" s="57"/>
      <c r="E25" s="26"/>
      <c r="F25" s="20"/>
      <c r="G25" s="20"/>
      <c r="H25" s="20"/>
      <c r="I25" s="336"/>
      <c r="J25" s="336"/>
      <c r="K25" s="336"/>
      <c r="L25" s="338"/>
    </row>
    <row r="26" spans="2:12" ht="15">
      <c r="B26" s="93">
        <f>B24+1</f>
        <v>8</v>
      </c>
      <c r="C26" s="81"/>
      <c r="D26" s="332" t="str">
        <f>"NET PLANT CARRYING CHARGE ON LINE "&amp;B23&amp;" , w/o depreciation or ROE incentives (Note B)"</f>
        <v>NET PLANT CARRYING CHARGE ON LINE 6 , w/o depreciation or ROE incentives (Note B)</v>
      </c>
      <c r="E26" s="26"/>
      <c r="F26" s="20"/>
      <c r="G26" s="20"/>
      <c r="H26" s="20"/>
      <c r="I26" s="336"/>
      <c r="J26" s="336"/>
      <c r="K26" s="336"/>
      <c r="L26" s="338"/>
    </row>
    <row r="27" spans="2:12" ht="15">
      <c r="B27" s="93">
        <f>B26+1</f>
        <v>9</v>
      </c>
      <c r="C27" s="81"/>
      <c r="D27" s="57" t="s">
        <v>98</v>
      </c>
      <c r="E27" s="26" t="str">
        <f>"( (ln "&amp;B11&amp;" - ln "&amp;B171&amp;" - ln "&amp;B172&amp;" - ln "&amp;B178&amp;") / ln "&amp;B91&amp;" x 100)"</f>
        <v>( (ln 1 - ln 105 - ln 106 - ln 111) / ln 48 x 100)</v>
      </c>
      <c r="F27" s="20"/>
      <c r="G27" s="20"/>
      <c r="H27" s="20"/>
      <c r="I27" s="336"/>
      <c r="J27" s="336"/>
      <c r="K27" s="336"/>
      <c r="L27" s="337">
        <f>IF(L11=0,0,(L11-L171-L172-L178)/L91)</f>
        <v>0.20872655673577084</v>
      </c>
    </row>
    <row r="28" spans="2:12" ht="15">
      <c r="B28" s="93"/>
      <c r="C28" s="81"/>
      <c r="D28" s="57"/>
      <c r="E28" s="26"/>
      <c r="F28" s="20"/>
      <c r="G28" s="20"/>
      <c r="H28" s="20"/>
      <c r="I28" s="336"/>
      <c r="J28" s="336"/>
      <c r="K28" s="336"/>
      <c r="L28" s="338"/>
    </row>
    <row r="29" spans="2:12" ht="15">
      <c r="B29" s="93">
        <f>B27+1</f>
        <v>10</v>
      </c>
      <c r="C29" s="81"/>
      <c r="D29" s="332" t="str">
        <f>"NET PLANT CARRYING CHARGE ON LINE "&amp;B27&amp;", w/o Return, income taxes or ROE incentives (Note B)"</f>
        <v>NET PLANT CARRYING CHARGE ON LINE 9, w/o Return, income taxes or ROE incentives (Note B)</v>
      </c>
      <c r="E29" s="26"/>
      <c r="F29" s="20"/>
      <c r="G29" s="764"/>
      <c r="H29" s="764"/>
      <c r="I29" s="764"/>
      <c r="J29" s="764"/>
      <c r="K29" s="764"/>
      <c r="L29" s="619"/>
    </row>
    <row r="30" spans="2:12" ht="15">
      <c r="B30" s="93">
        <f>B29+1</f>
        <v>11</v>
      </c>
      <c r="C30" s="81"/>
      <c r="D30" s="17" t="s">
        <v>98</v>
      </c>
      <c r="E30" s="26" t="str">
        <f>"( (ln "&amp;B11&amp;" - ln "&amp;B171&amp;" - ln "&amp;B172&amp;" - ln "&amp;B178&amp;" - ln "&amp;B203&amp;" - ln "&amp;B205&amp;") / ln "&amp;B91&amp;" x 100)"</f>
        <v>( (ln 1 - ln 105 - ln 106 - ln 111 - ln 133 - ln 134) / ln 48 x 100)</v>
      </c>
      <c r="F30" s="20"/>
      <c r="G30" s="764"/>
      <c r="H30" s="764"/>
      <c r="I30" s="764"/>
      <c r="J30" s="764"/>
      <c r="K30" s="764"/>
      <c r="L30" s="619">
        <f>(L11-L171-L172-L178-L203-L205)/L91</f>
        <v>0.09930941615302336</v>
      </c>
    </row>
    <row r="31" spans="2:12" ht="15">
      <c r="B31" s="93"/>
      <c r="C31" s="81"/>
      <c r="D31" s="17"/>
      <c r="E31" s="26"/>
      <c r="F31" s="20"/>
      <c r="G31" s="20"/>
      <c r="H31" s="20"/>
      <c r="I31" s="336"/>
      <c r="J31" s="336"/>
      <c r="K31" s="336"/>
      <c r="L31" s="337"/>
    </row>
    <row r="32" spans="2:12" ht="15">
      <c r="B32" s="93">
        <f>B30+1</f>
        <v>12</v>
      </c>
      <c r="C32" s="20"/>
      <c r="D32" s="493" t="s">
        <v>607</v>
      </c>
      <c r="E32" s="26"/>
      <c r="F32" s="20"/>
      <c r="G32" s="20"/>
      <c r="H32" s="20"/>
      <c r="I32" s="336"/>
      <c r="J32" s="336"/>
      <c r="K32" s="336"/>
      <c r="L32" s="123">
        <f>+'KGPCo WS K TRUE-UP RTEP RR'!P20</f>
        <v>0</v>
      </c>
    </row>
    <row r="33" spans="2:12" ht="15">
      <c r="B33" s="93"/>
      <c r="C33" s="20"/>
      <c r="D33" s="13"/>
      <c r="E33" s="26"/>
      <c r="F33" s="20"/>
      <c r="G33" s="20"/>
      <c r="H33" s="20"/>
      <c r="I33" s="336"/>
      <c r="J33" s="336"/>
      <c r="K33" s="336"/>
      <c r="L33" s="337"/>
    </row>
    <row r="34" spans="2:12" ht="15">
      <c r="B34" s="16"/>
      <c r="C34" s="20"/>
      <c r="D34" s="13"/>
      <c r="E34" s="26"/>
      <c r="F34" s="20"/>
      <c r="G34" s="20"/>
      <c r="H34" s="20"/>
      <c r="I34" s="336"/>
      <c r="J34" s="336"/>
      <c r="K34" s="336"/>
      <c r="L34" s="337"/>
    </row>
    <row r="35" spans="2:12" ht="15.75">
      <c r="B35" s="93">
        <f>+B32+1</f>
        <v>13</v>
      </c>
      <c r="C35" s="20"/>
      <c r="D35" s="1161" t="s">
        <v>307</v>
      </c>
      <c r="E35" s="1161"/>
      <c r="F35" s="1161"/>
      <c r="G35" s="1161"/>
      <c r="H35" s="1161"/>
      <c r="I35" s="1161"/>
      <c r="J35" s="1161"/>
      <c r="K35" s="1161"/>
      <c r="L35" s="1161"/>
    </row>
    <row r="36" spans="2:12" ht="15">
      <c r="B36" s="93"/>
      <c r="C36" s="20"/>
      <c r="D36" s="13"/>
      <c r="E36" s="26"/>
      <c r="F36" s="20"/>
      <c r="G36" s="20"/>
      <c r="H36" s="20"/>
      <c r="I36" s="336"/>
      <c r="J36" s="336"/>
      <c r="K36" s="336"/>
      <c r="L36" s="337"/>
    </row>
    <row r="37" spans="2:12" ht="15">
      <c r="B37" s="93">
        <f>+B35+1</f>
        <v>14</v>
      </c>
      <c r="C37" s="20"/>
      <c r="D37" s="88" t="s">
        <v>309</v>
      </c>
      <c r="E37" s="26" t="str">
        <f>"Line "&amp;B149&amp;" Below"</f>
        <v>Line 85 Below</v>
      </c>
      <c r="F37" s="20"/>
      <c r="H37" s="20"/>
      <c r="I37" s="336"/>
      <c r="J37" s="336"/>
      <c r="K37" s="336"/>
      <c r="L37" s="129">
        <f>+G149</f>
        <v>50417.87</v>
      </c>
    </row>
    <row r="38" spans="2:12" ht="15">
      <c r="B38" s="93">
        <f>+B37+1</f>
        <v>15</v>
      </c>
      <c r="C38" s="20"/>
      <c r="D38" s="88" t="s">
        <v>392</v>
      </c>
      <c r="E38" s="18"/>
      <c r="F38" s="20"/>
      <c r="H38" s="20"/>
      <c r="I38" s="336"/>
      <c r="J38" s="336"/>
      <c r="K38" s="336"/>
      <c r="L38" s="1045">
        <f>+'KGPCo Historic TCOS'!L38</f>
        <v>0</v>
      </c>
    </row>
    <row r="39" spans="2:12" ht="15">
      <c r="B39" s="93">
        <f>+B38+1</f>
        <v>16</v>
      </c>
      <c r="C39" s="20"/>
      <c r="D39" s="88" t="s">
        <v>393</v>
      </c>
      <c r="E39" s="18"/>
      <c r="F39" s="20"/>
      <c r="H39" s="20"/>
      <c r="I39" s="336"/>
      <c r="J39" s="336"/>
      <c r="K39" s="336"/>
      <c r="L39" s="1045">
        <f>+'KGPCo Historic TCOS'!L39</f>
        <v>0</v>
      </c>
    </row>
    <row r="40" spans="2:12" ht="15">
      <c r="B40" s="93"/>
      <c r="C40" s="20"/>
      <c r="E40" s="18"/>
      <c r="F40" s="20"/>
      <c r="H40" s="20"/>
      <c r="I40" s="336"/>
      <c r="J40" s="336"/>
      <c r="K40" s="336"/>
      <c r="L40" s="20"/>
    </row>
    <row r="41" spans="2:12" ht="15.75" thickBot="1">
      <c r="B41" s="93">
        <f>+B39+1</f>
        <v>17</v>
      </c>
      <c r="C41" s="20"/>
      <c r="D41" s="88" t="s">
        <v>308</v>
      </c>
      <c r="E41" s="28" t="str">
        <f>"(Line "&amp;B37&amp;" - Line "&amp;B38&amp;" - Line "&amp;B39&amp;")"</f>
        <v>(Line 14 - Line 15 - Line 16)</v>
      </c>
      <c r="F41" s="20"/>
      <c r="H41" s="20"/>
      <c r="I41" s="336"/>
      <c r="J41" s="336"/>
      <c r="K41" s="336"/>
      <c r="L41" s="645">
        <f>+L37-L38-L39</f>
        <v>50417.87</v>
      </c>
    </row>
    <row r="42" spans="2:12" ht="15.75" thickTop="1">
      <c r="B42" s="93"/>
      <c r="C42" s="20"/>
      <c r="D42" s="13"/>
      <c r="E42" s="26"/>
      <c r="F42" s="20"/>
      <c r="G42" s="20"/>
      <c r="H42" s="20"/>
      <c r="I42" s="336"/>
      <c r="J42" s="336"/>
      <c r="K42" s="336"/>
      <c r="L42" s="337"/>
    </row>
    <row r="43" spans="2:12" ht="15">
      <c r="B43" s="93"/>
      <c r="C43" s="20"/>
      <c r="D43" s="13"/>
      <c r="E43" s="26"/>
      <c r="F43" s="20"/>
      <c r="G43" s="20"/>
      <c r="H43" s="20"/>
      <c r="I43" s="336"/>
      <c r="J43" s="336"/>
      <c r="K43" s="336"/>
      <c r="L43" s="337"/>
    </row>
    <row r="44" spans="2:12" ht="15">
      <c r="B44" s="93"/>
      <c r="C44" s="20"/>
      <c r="D44" s="13"/>
      <c r="E44" s="26"/>
      <c r="F44" s="20"/>
      <c r="G44" s="20"/>
      <c r="H44" s="20"/>
      <c r="I44" s="336"/>
      <c r="J44" s="336"/>
      <c r="K44" s="336"/>
      <c r="L44" s="337"/>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9"/>
    </row>
    <row r="47" spans="2:16" ht="15">
      <c r="B47" s="92"/>
      <c r="C47" s="13"/>
      <c r="D47" s="17"/>
      <c r="E47" s="17"/>
      <c r="F47" s="20" t="str">
        <f>F3</f>
        <v>AEP East Companies </v>
      </c>
      <c r="G47" s="28"/>
      <c r="H47" s="17"/>
      <c r="I47" s="17"/>
      <c r="J47" s="17"/>
      <c r="K47" s="17"/>
      <c r="L47" s="17"/>
      <c r="P47" s="589"/>
    </row>
    <row r="48" spans="2:16" ht="15">
      <c r="B48" s="92"/>
      <c r="C48" s="13"/>
      <c r="D48" s="17"/>
      <c r="E48" s="19"/>
      <c r="F48" s="20" t="str">
        <f>F4</f>
        <v>Transmission Cost of Service Formula Rate</v>
      </c>
      <c r="G48" s="19"/>
      <c r="H48" s="19"/>
      <c r="I48" s="19"/>
      <c r="J48" s="19"/>
      <c r="K48" s="19"/>
      <c r="L48" s="19"/>
      <c r="P48" s="590"/>
    </row>
    <row r="49" spans="2:16" ht="15">
      <c r="B49" s="92"/>
      <c r="C49" s="13"/>
      <c r="D49" s="17"/>
      <c r="E49" s="19"/>
      <c r="F49" s="12" t="str">
        <f>F5</f>
        <v>Utilizing Actual Cost Data for 2011 with Average Ratebase Balances</v>
      </c>
      <c r="G49" s="19"/>
      <c r="H49" s="19"/>
      <c r="I49" s="19"/>
      <c r="J49" s="19"/>
      <c r="K49" s="19"/>
      <c r="L49" s="19"/>
      <c r="P49" s="590"/>
    </row>
    <row r="50" spans="2:16" ht="15">
      <c r="B50" s="92"/>
      <c r="C50" s="13"/>
      <c r="D50" s="17"/>
      <c r="E50" s="19"/>
      <c r="F50" s="701"/>
      <c r="G50" s="19"/>
      <c r="H50" s="19"/>
      <c r="I50" s="19"/>
      <c r="J50" s="19"/>
      <c r="K50" s="19"/>
      <c r="L50" s="19"/>
      <c r="P50" s="590"/>
    </row>
    <row r="51" spans="2:16" ht="15">
      <c r="B51" s="92"/>
      <c r="C51" s="13"/>
      <c r="D51" s="17"/>
      <c r="E51" s="19"/>
      <c r="F51" s="20" t="str">
        <f>F7</f>
        <v>KINGSPORT POWER COMPANY</v>
      </c>
      <c r="G51" s="19"/>
      <c r="H51" s="19"/>
      <c r="I51" s="19"/>
      <c r="J51" s="19"/>
      <c r="K51" s="19"/>
      <c r="L51" s="19"/>
      <c r="P51" s="590"/>
    </row>
    <row r="52" spans="2:16" ht="15">
      <c r="B52" s="92"/>
      <c r="C52" s="13"/>
      <c r="D52" s="17"/>
      <c r="E52" s="32"/>
      <c r="F52" s="32"/>
      <c r="G52" s="32"/>
      <c r="H52" s="32"/>
      <c r="I52" s="32"/>
      <c r="J52" s="32"/>
      <c r="K52" s="32"/>
      <c r="L52" s="19"/>
      <c r="P52" s="590"/>
    </row>
    <row r="53" spans="2:12" ht="15">
      <c r="B53" s="92"/>
      <c r="C53" s="13"/>
      <c r="D53" s="20" t="s">
        <v>716</v>
      </c>
      <c r="E53" s="20" t="s">
        <v>717</v>
      </c>
      <c r="F53" s="20"/>
      <c r="G53" s="20" t="s">
        <v>718</v>
      </c>
      <c r="H53" s="19" t="s">
        <v>709</v>
      </c>
      <c r="I53" s="1148" t="s">
        <v>719</v>
      </c>
      <c r="J53" s="1152"/>
      <c r="K53" s="19"/>
      <c r="L53" s="21" t="s">
        <v>720</v>
      </c>
    </row>
    <row r="54" spans="2:12" ht="15">
      <c r="B54" s="16"/>
      <c r="C54" s="13"/>
      <c r="D54"/>
      <c r="E54"/>
      <c r="F54"/>
      <c r="G54" s="129"/>
      <c r="H54" s="19"/>
      <c r="I54" s="19"/>
      <c r="J54" s="34"/>
      <c r="K54" s="19"/>
      <c r="L54" s="13"/>
    </row>
    <row r="55" spans="2:16" ht="15.75">
      <c r="B55" s="95"/>
      <c r="C55" s="20"/>
      <c r="D55"/>
      <c r="E55" s="35" t="s">
        <v>687</v>
      </c>
      <c r="F55" s="37"/>
      <c r="G55" s="19"/>
      <c r="H55" s="19"/>
      <c r="I55" s="19"/>
      <c r="J55" s="20"/>
      <c r="K55" s="19"/>
      <c r="L55" s="36" t="s">
        <v>713</v>
      </c>
      <c r="P55" s="589"/>
    </row>
    <row r="56" spans="2:12" ht="15.75">
      <c r="B56" s="16"/>
      <c r="C56" s="25"/>
      <c r="D56" s="55" t="s">
        <v>686</v>
      </c>
      <c r="E56" s="118" t="s">
        <v>707</v>
      </c>
      <c r="F56" s="19"/>
      <c r="G56" s="55" t="s">
        <v>673</v>
      </c>
      <c r="H56" s="39"/>
      <c r="I56" s="1146" t="s">
        <v>714</v>
      </c>
      <c r="J56" s="1147"/>
      <c r="K56" s="39"/>
      <c r="L56" s="55" t="s">
        <v>710</v>
      </c>
    </row>
    <row r="57" spans="2:12" ht="15">
      <c r="B57" s="98" t="str">
        <f>B9</f>
        <v>Line</v>
      </c>
      <c r="C57" s="20"/>
      <c r="D57" s="17"/>
      <c r="E57" s="19"/>
      <c r="F57" s="19"/>
      <c r="G57" s="500" t="s">
        <v>210</v>
      </c>
      <c r="H57" s="19"/>
      <c r="I57" s="19"/>
      <c r="J57" s="19"/>
      <c r="K57" s="19"/>
      <c r="L57" s="19"/>
    </row>
    <row r="58" spans="2:12" ht="15.75" thickBot="1">
      <c r="B58" s="94" t="str">
        <f>B10</f>
        <v>No.</v>
      </c>
      <c r="C58" s="20"/>
      <c r="D58" s="17" t="s">
        <v>674</v>
      </c>
      <c r="E58" s="41"/>
      <c r="F58" s="41"/>
      <c r="G58" s="29"/>
      <c r="H58" s="29"/>
      <c r="I58" s="49"/>
      <c r="J58" s="29"/>
      <c r="K58" s="29"/>
      <c r="L58" s="29"/>
    </row>
    <row r="59" spans="2:12" ht="15">
      <c r="B59" s="93">
        <f>+B41+1</f>
        <v>18</v>
      </c>
      <c r="C59" s="20"/>
      <c r="D59" s="42" t="s">
        <v>721</v>
      </c>
      <c r="E59" s="29" t="s">
        <v>608</v>
      </c>
      <c r="F59" s="29"/>
      <c r="G59" s="123">
        <f>+'KGPCo WS A  - RB Support '!G14</f>
        <v>0</v>
      </c>
      <c r="H59" s="123"/>
      <c r="I59" s="49" t="s">
        <v>722</v>
      </c>
      <c r="J59" s="50">
        <f>VLOOKUP(I59,APCo_TU_Allocators,2,FALSE)</f>
        <v>0</v>
      </c>
      <c r="K59" s="29"/>
      <c r="L59" s="123">
        <f>+J59*G59</f>
        <v>0</v>
      </c>
    </row>
    <row r="60" spans="2:12" ht="15">
      <c r="B60" s="93">
        <f aca="true" t="shared" si="0" ref="B60:B70">+B59+1</f>
        <v>19</v>
      </c>
      <c r="C60" s="20"/>
      <c r="D60" s="42" t="s">
        <v>258</v>
      </c>
      <c r="E60" s="29" t="s">
        <v>609</v>
      </c>
      <c r="F60" s="29"/>
      <c r="G60" s="300">
        <f>-'KGPCo WS A  - RB Support '!G16</f>
        <v>0</v>
      </c>
      <c r="H60" s="123"/>
      <c r="I60" s="49" t="s">
        <v>722</v>
      </c>
      <c r="J60" s="50">
        <f>VLOOKUP(I60,APCo_TU_Allocators,2,FALSE)</f>
        <v>0</v>
      </c>
      <c r="K60" s="29"/>
      <c r="L60" s="123">
        <f>+J60*G60</f>
        <v>0</v>
      </c>
    </row>
    <row r="61" spans="2:12" ht="15">
      <c r="B61" s="93">
        <f t="shared" si="0"/>
        <v>20</v>
      </c>
      <c r="C61" s="44"/>
      <c r="D61" s="45" t="s">
        <v>723</v>
      </c>
      <c r="E61" s="29" t="str">
        <f>"(Worksheet A ln "&amp;'KGPCo WS A  - RB Support '!A18&amp;".C &amp; Ln "&amp;B229&amp;")"</f>
        <v>(Worksheet A ln 3.C &amp; Ln 142)</v>
      </c>
      <c r="F61" s="29"/>
      <c r="G61" s="123">
        <f>+'KGPCo WS A  - RB Support '!G18</f>
        <v>19635251.5</v>
      </c>
      <c r="H61" s="123"/>
      <c r="I61" s="301" t="s">
        <v>724</v>
      </c>
      <c r="J61" s="29"/>
      <c r="K61" s="295"/>
      <c r="L61" s="302">
        <f>+L229</f>
        <v>19635251.5</v>
      </c>
    </row>
    <row r="62" spans="2:12" ht="15">
      <c r="B62" s="93">
        <f t="shared" si="0"/>
        <v>21</v>
      </c>
      <c r="C62" s="44"/>
      <c r="D62" s="61" t="s">
        <v>260</v>
      </c>
      <c r="E62" s="29" t="str">
        <f>"(Worksheet A ln "&amp;'KGPCo WS A  - RB Support '!A20&amp;".C&amp; Ln "&amp;B231&amp;")"</f>
        <v>(Worksheet A ln 4.C&amp; Ln 143)</v>
      </c>
      <c r="F62" s="29"/>
      <c r="G62" s="123">
        <f>-+'KGPCo WS A  - RB Support '!G20</f>
        <v>0</v>
      </c>
      <c r="H62" s="123"/>
      <c r="I62" s="301" t="s">
        <v>715</v>
      </c>
      <c r="J62" s="50">
        <f aca="true" t="shared" si="1" ref="J62:J69">VLOOKUP(I62,APCo_TU_Allocators,2,FALSE)</f>
        <v>1</v>
      </c>
      <c r="K62" s="295"/>
      <c r="L62" s="302">
        <f>+G62*J62</f>
        <v>0</v>
      </c>
    </row>
    <row r="63" spans="2:12" ht="15.75">
      <c r="B63" s="93">
        <f t="shared" si="0"/>
        <v>22</v>
      </c>
      <c r="C63" s="44"/>
      <c r="D63" s="494" t="s">
        <v>404</v>
      </c>
      <c r="E63" s="46"/>
      <c r="F63" s="46"/>
      <c r="G63" s="505" t="s">
        <v>255</v>
      </c>
      <c r="H63" s="764"/>
      <c r="I63" s="301" t="s">
        <v>722</v>
      </c>
      <c r="J63" s="50">
        <f t="shared" si="1"/>
        <v>0</v>
      </c>
      <c r="K63" s="295"/>
      <c r="L63" s="505" t="s">
        <v>255</v>
      </c>
    </row>
    <row r="64" spans="2:16" ht="15.75">
      <c r="B64" s="93">
        <f t="shared" si="0"/>
        <v>23</v>
      </c>
      <c r="C64" s="44"/>
      <c r="D64" s="494" t="s">
        <v>405</v>
      </c>
      <c r="E64" s="41"/>
      <c r="F64" s="41"/>
      <c r="G64" s="505" t="s">
        <v>255</v>
      </c>
      <c r="H64" s="764"/>
      <c r="I64" s="32" t="s">
        <v>722</v>
      </c>
      <c r="J64" s="50">
        <f t="shared" si="1"/>
        <v>0</v>
      </c>
      <c r="K64" s="19"/>
      <c r="L64" s="505" t="s">
        <v>255</v>
      </c>
      <c r="P64" s="588"/>
    </row>
    <row r="65" spans="2:12" ht="15">
      <c r="B65" s="93">
        <f t="shared" si="0"/>
        <v>24</v>
      </c>
      <c r="C65" s="44"/>
      <c r="D65" s="17" t="s">
        <v>725</v>
      </c>
      <c r="E65" s="29" t="s">
        <v>610</v>
      </c>
      <c r="F65" s="29"/>
      <c r="G65" s="123">
        <f>+'KGPCo WS A  - RB Support '!G22</f>
        <v>107419520.945</v>
      </c>
      <c r="H65" s="123"/>
      <c r="I65" s="49" t="s">
        <v>722</v>
      </c>
      <c r="J65" s="50">
        <f t="shared" si="1"/>
        <v>0</v>
      </c>
      <c r="K65" s="29"/>
      <c r="L65" s="123">
        <f>+J65*G65</f>
        <v>0</v>
      </c>
    </row>
    <row r="66" spans="2:12" ht="15">
      <c r="B66" s="93">
        <f t="shared" si="0"/>
        <v>25</v>
      </c>
      <c r="C66" s="44"/>
      <c r="D66" s="42" t="s">
        <v>256</v>
      </c>
      <c r="E66" s="29" t="s">
        <v>611</v>
      </c>
      <c r="F66" s="29"/>
      <c r="G66" s="300">
        <f>-+'KGPCo WS A  - RB Support '!G24</f>
        <v>0</v>
      </c>
      <c r="H66" s="123"/>
      <c r="I66" s="49" t="s">
        <v>722</v>
      </c>
      <c r="J66" s="50">
        <f t="shared" si="1"/>
        <v>0</v>
      </c>
      <c r="K66" s="29"/>
      <c r="L66" s="123">
        <f>+G66*J66</f>
        <v>0</v>
      </c>
    </row>
    <row r="67" spans="2:12" ht="15">
      <c r="B67" s="93">
        <f t="shared" si="0"/>
        <v>26</v>
      </c>
      <c r="C67" s="44"/>
      <c r="D67" s="17" t="s">
        <v>726</v>
      </c>
      <c r="E67" s="29" t="s">
        <v>612</v>
      </c>
      <c r="F67" s="29"/>
      <c r="G67" s="123">
        <f>+'KGPCo WS A  - RB Support '!G26</f>
        <v>2420314.065</v>
      </c>
      <c r="H67" s="123"/>
      <c r="I67" s="49" t="s">
        <v>727</v>
      </c>
      <c r="J67" s="50">
        <f t="shared" si="1"/>
        <v>0.1151916355991698</v>
      </c>
      <c r="K67" s="29"/>
      <c r="L67" s="123">
        <f>+J67*G67</f>
        <v>278799.9358110254</v>
      </c>
    </row>
    <row r="68" spans="2:12" ht="15">
      <c r="B68" s="93">
        <f t="shared" si="0"/>
        <v>27</v>
      </c>
      <c r="C68" s="44"/>
      <c r="D68" s="42" t="s">
        <v>257</v>
      </c>
      <c r="E68" s="29" t="s">
        <v>613</v>
      </c>
      <c r="F68" s="29"/>
      <c r="G68" s="300">
        <f>-'KGPCo WS A  - RB Support '!G28</f>
        <v>0</v>
      </c>
      <c r="H68" s="123"/>
      <c r="I68" s="49" t="s">
        <v>727</v>
      </c>
      <c r="J68" s="50">
        <f t="shared" si="1"/>
        <v>0.1151916355991698</v>
      </c>
      <c r="K68" s="29"/>
      <c r="L68" s="123">
        <f>+G68*J68</f>
        <v>0</v>
      </c>
    </row>
    <row r="69" spans="2:15" ht="15.75" thickBot="1">
      <c r="B69" s="93">
        <f t="shared" si="0"/>
        <v>28</v>
      </c>
      <c r="C69" s="44"/>
      <c r="D69" s="17" t="s">
        <v>728</v>
      </c>
      <c r="E69" s="29" t="s">
        <v>614</v>
      </c>
      <c r="F69" s="29"/>
      <c r="G69" s="124">
        <f>+'KGPCo WS A  - RB Support '!G30</f>
        <v>1112404.58</v>
      </c>
      <c r="H69" s="123"/>
      <c r="I69" s="49" t="s">
        <v>727</v>
      </c>
      <c r="J69" s="50">
        <f t="shared" si="1"/>
        <v>0.1151916355991698</v>
      </c>
      <c r="K69" s="29"/>
      <c r="L69" s="124">
        <f>+J69*G69</f>
        <v>128139.70301820754</v>
      </c>
      <c r="O69" s="33"/>
    </row>
    <row r="70" spans="2:15" ht="15.75">
      <c r="B70" s="95">
        <f t="shared" si="0"/>
        <v>29</v>
      </c>
      <c r="C70" s="44"/>
      <c r="D70" s="17" t="s">
        <v>672</v>
      </c>
      <c r="E70" s="20" t="str">
        <f>"(sum lns "&amp;B59&amp;" to "&amp;B69&amp;")"</f>
        <v>(sum lns 18 to 28)</v>
      </c>
      <c r="F70" s="765"/>
      <c r="G70" s="123">
        <f>SUM(G59:G69)</f>
        <v>130587491.08999999</v>
      </c>
      <c r="H70" s="123"/>
      <c r="I70" s="309" t="s">
        <v>471</v>
      </c>
      <c r="J70" s="641">
        <f>IF(G70=0,0,L70/G70)</f>
        <v>0.15347711309513018</v>
      </c>
      <c r="K70" s="29"/>
      <c r="L70" s="123">
        <f>SUM(L59:L69)</f>
        <v>20042191.13882923</v>
      </c>
      <c r="O70" s="33"/>
    </row>
    <row r="71" spans="2:15" ht="15.75">
      <c r="B71" s="95"/>
      <c r="C71" s="20"/>
      <c r="D71" s="17"/>
      <c r="E71" s="753"/>
      <c r="F71" s="765"/>
      <c r="G71" s="123"/>
      <c r="H71" s="123"/>
      <c r="I71" s="309" t="s">
        <v>24</v>
      </c>
      <c r="J71" s="641">
        <f>IF(G71=0,0,L71/G71)</f>
        <v>0</v>
      </c>
      <c r="K71" s="29"/>
      <c r="L71" s="123"/>
      <c r="O71" s="33"/>
    </row>
    <row r="72" spans="2:15" ht="15">
      <c r="B72" s="93">
        <f>+B70+1</f>
        <v>30</v>
      </c>
      <c r="C72" s="20"/>
      <c r="D72" s="17" t="s">
        <v>643</v>
      </c>
      <c r="E72" s="41"/>
      <c r="F72" s="41"/>
      <c r="G72" s="123"/>
      <c r="H72" s="311"/>
      <c r="I72" s="49"/>
      <c r="J72" s="312"/>
      <c r="K72" s="29"/>
      <c r="L72" s="123"/>
      <c r="O72" s="3"/>
    </row>
    <row r="73" spans="2:15" ht="15">
      <c r="B73" s="93">
        <f aca="true" t="shared" si="2" ref="B73:B87">+B72+1</f>
        <v>31</v>
      </c>
      <c r="C73" s="20"/>
      <c r="D73" s="42" t="str">
        <f>+D59</f>
        <v>  Production</v>
      </c>
      <c r="E73" s="29" t="s">
        <v>615</v>
      </c>
      <c r="F73" s="29"/>
      <c r="G73" s="123">
        <f>+'KGPCo WS A  - RB Support '!G38</f>
        <v>0</v>
      </c>
      <c r="H73" s="123"/>
      <c r="I73" s="49" t="s">
        <v>722</v>
      </c>
      <c r="J73" s="50">
        <f>VLOOKUP(I73,APCo_TU_Allocators,2,FALSE)</f>
        <v>0</v>
      </c>
      <c r="K73" s="29"/>
      <c r="L73" s="123">
        <f>+J73*G73</f>
        <v>0</v>
      </c>
      <c r="O73" s="3"/>
    </row>
    <row r="74" spans="2:15" ht="15">
      <c r="B74" s="93">
        <f t="shared" si="2"/>
        <v>32</v>
      </c>
      <c r="C74" s="20"/>
      <c r="D74" s="42" t="s">
        <v>258</v>
      </c>
      <c r="E74" s="29" t="s">
        <v>616</v>
      </c>
      <c r="F74" s="29"/>
      <c r="G74" s="300">
        <f>-+'KGPCo WS A  - RB Support '!G40</f>
        <v>0</v>
      </c>
      <c r="H74" s="123"/>
      <c r="I74" s="49" t="s">
        <v>722</v>
      </c>
      <c r="J74" s="50">
        <f>VLOOKUP(I74,APCo_TU_Allocators,2,FALSE)</f>
        <v>0</v>
      </c>
      <c r="K74" s="29"/>
      <c r="L74" s="123">
        <f>+J74*G74</f>
        <v>0</v>
      </c>
      <c r="O74" s="3"/>
    </row>
    <row r="75" spans="2:15" ht="15.75">
      <c r="B75" s="93">
        <f t="shared" si="2"/>
        <v>33</v>
      </c>
      <c r="C75" s="44"/>
      <c r="D75" s="45" t="str">
        <f>D61</f>
        <v>  Transmission</v>
      </c>
      <c r="E75" s="29" t="s">
        <v>617</v>
      </c>
      <c r="F75" s="46"/>
      <c r="G75" s="302">
        <f>+'KGPCo WS A  - RB Support '!G42</f>
        <v>10037323.5</v>
      </c>
      <c r="H75" s="123"/>
      <c r="I75" s="313" t="s">
        <v>647</v>
      </c>
      <c r="J75" s="314">
        <f>IF(G75=0,0,L75/G75)</f>
        <v>1</v>
      </c>
      <c r="K75" s="295"/>
      <c r="L75" s="123">
        <f>+'KGPCo WS A  - RB Support '!G74</f>
        <v>10037323.5</v>
      </c>
      <c r="O75" s="3"/>
    </row>
    <row r="76" spans="2:15" ht="15.75">
      <c r="B76" s="93">
        <f t="shared" si="2"/>
        <v>34</v>
      </c>
      <c r="C76" s="44"/>
      <c r="D76" s="42" t="s">
        <v>260</v>
      </c>
      <c r="E76" s="29" t="s">
        <v>618</v>
      </c>
      <c r="F76" s="46"/>
      <c r="G76" s="300">
        <f>-'KGPCo WS A  - RB Support '!G44</f>
        <v>0</v>
      </c>
      <c r="H76" s="123"/>
      <c r="I76" s="313" t="s">
        <v>647</v>
      </c>
      <c r="J76" s="50">
        <f>+J75</f>
        <v>1</v>
      </c>
      <c r="K76" s="295"/>
      <c r="L76" s="123">
        <f>+J76*G76</f>
        <v>0</v>
      </c>
      <c r="O76" s="3"/>
    </row>
    <row r="77" spans="2:15" ht="15.75">
      <c r="B77" s="93">
        <f t="shared" si="2"/>
        <v>35</v>
      </c>
      <c r="C77" s="44"/>
      <c r="D77" s="494" t="s">
        <v>404</v>
      </c>
      <c r="E77" s="46"/>
      <c r="F77" s="46"/>
      <c r="G77" s="505" t="s">
        <v>255</v>
      </c>
      <c r="H77" s="764"/>
      <c r="I77" s="301" t="s">
        <v>724</v>
      </c>
      <c r="J77" s="50">
        <f aca="true" t="shared" si="3" ref="J77:J86">VLOOKUP(I77,APCo_TU_Allocators,2,FALSE)</f>
        <v>1</v>
      </c>
      <c r="K77" s="295"/>
      <c r="L77" s="505" t="s">
        <v>255</v>
      </c>
      <c r="O77" s="3"/>
    </row>
    <row r="78" spans="2:15" ht="15.75">
      <c r="B78" s="93">
        <f t="shared" si="2"/>
        <v>36</v>
      </c>
      <c r="C78" s="44"/>
      <c r="D78" s="494" t="s">
        <v>407</v>
      </c>
      <c r="E78" s="46"/>
      <c r="F78" s="46"/>
      <c r="G78" s="505" t="s">
        <v>255</v>
      </c>
      <c r="H78" s="764"/>
      <c r="I78" s="301" t="s">
        <v>724</v>
      </c>
      <c r="J78" s="50">
        <f t="shared" si="3"/>
        <v>1</v>
      </c>
      <c r="K78" s="295"/>
      <c r="L78" s="505" t="s">
        <v>255</v>
      </c>
      <c r="O78" s="3"/>
    </row>
    <row r="79" spans="2:15" ht="15.75">
      <c r="B79" s="93">
        <f t="shared" si="2"/>
        <v>37</v>
      </c>
      <c r="C79" s="44"/>
      <c r="D79" s="494" t="str">
        <f>"     Plus: Additional Transmission Depreciation for "&amp;N1+1&amp;"  (ln "&amp;B178&amp;")"</f>
        <v>     Plus: Additional Transmission Depreciation for 2012  (ln 111)</v>
      </c>
      <c r="E79" s="46"/>
      <c r="F79" s="46"/>
      <c r="G79" s="505" t="s">
        <v>255</v>
      </c>
      <c r="H79" s="764"/>
      <c r="I79" s="584" t="s">
        <v>646</v>
      </c>
      <c r="J79" s="50">
        <f t="shared" si="3"/>
        <v>1</v>
      </c>
      <c r="K79" s="295"/>
      <c r="L79" s="505" t="s">
        <v>255</v>
      </c>
      <c r="O79" s="3"/>
    </row>
    <row r="80" spans="2:15" ht="15.75">
      <c r="B80" s="93">
        <f t="shared" si="2"/>
        <v>38</v>
      </c>
      <c r="C80" s="44"/>
      <c r="D80" s="495" t="str">
        <f>"     Plus: Additional General &amp; Intangible Depreciation for "&amp;N1+1&amp;" (ln "&amp;B177&amp;" + ln "&amp;B178&amp;")"</f>
        <v>     Plus: Additional General &amp; Intangible Depreciation for 2012 (ln 110 + ln 111)</v>
      </c>
      <c r="E80" s="46"/>
      <c r="F80" s="46"/>
      <c r="G80" s="505" t="s">
        <v>255</v>
      </c>
      <c r="H80" s="764"/>
      <c r="I80" s="301" t="s">
        <v>727</v>
      </c>
      <c r="J80" s="50">
        <f t="shared" si="3"/>
        <v>0.1151916355991698</v>
      </c>
      <c r="K80" s="295"/>
      <c r="L80" s="505" t="s">
        <v>255</v>
      </c>
      <c r="O80" s="3"/>
    </row>
    <row r="81" spans="2:15" ht="15.75">
      <c r="B81" s="93">
        <f t="shared" si="2"/>
        <v>39</v>
      </c>
      <c r="C81" s="44"/>
      <c r="D81" s="494" t="s">
        <v>406</v>
      </c>
      <c r="E81" s="46"/>
      <c r="F81" s="46"/>
      <c r="G81" s="505" t="s">
        <v>255</v>
      </c>
      <c r="H81" s="764"/>
      <c r="I81" s="301" t="s">
        <v>724</v>
      </c>
      <c r="J81" s="50">
        <f t="shared" si="3"/>
        <v>1</v>
      </c>
      <c r="K81" s="295"/>
      <c r="L81" s="505" t="s">
        <v>255</v>
      </c>
      <c r="O81" s="3"/>
    </row>
    <row r="82" spans="2:15" ht="15">
      <c r="B82" s="93">
        <f t="shared" si="2"/>
        <v>40</v>
      </c>
      <c r="C82" s="44"/>
      <c r="D82" s="17" t="str">
        <f>+D65</f>
        <v>  Distribution</v>
      </c>
      <c r="E82" s="29" t="s">
        <v>619</v>
      </c>
      <c r="F82" s="29"/>
      <c r="G82" s="123">
        <f>+'KGPCo WS A  - RB Support '!G46</f>
        <v>40881676.5</v>
      </c>
      <c r="H82" s="123"/>
      <c r="I82" s="49" t="s">
        <v>722</v>
      </c>
      <c r="J82" s="50">
        <f t="shared" si="3"/>
        <v>0</v>
      </c>
      <c r="K82" s="29"/>
      <c r="L82" s="123">
        <f>+J82*G82</f>
        <v>0</v>
      </c>
      <c r="O82" s="3"/>
    </row>
    <row r="83" spans="2:15" ht="15">
      <c r="B83" s="93">
        <f t="shared" si="2"/>
        <v>41</v>
      </c>
      <c r="C83" s="44"/>
      <c r="D83" s="42" t="s">
        <v>256</v>
      </c>
      <c r="E83" s="29" t="s">
        <v>620</v>
      </c>
      <c r="F83" s="29"/>
      <c r="G83" s="300">
        <f>-'KGPCo WS A  - RB Support '!G48</f>
        <v>0</v>
      </c>
      <c r="H83" s="123"/>
      <c r="I83" s="49" t="s">
        <v>722</v>
      </c>
      <c r="J83" s="50">
        <f t="shared" si="3"/>
        <v>0</v>
      </c>
      <c r="K83" s="29"/>
      <c r="L83" s="123">
        <f>+J83*G83</f>
        <v>0</v>
      </c>
      <c r="O83" s="3"/>
    </row>
    <row r="84" spans="2:15" ht="15">
      <c r="B84" s="93">
        <f t="shared" si="2"/>
        <v>42</v>
      </c>
      <c r="C84" s="212"/>
      <c r="D84" s="57" t="str">
        <f>+D67</f>
        <v>  General Plant   </v>
      </c>
      <c r="E84" s="29" t="s">
        <v>621</v>
      </c>
      <c r="F84" s="29"/>
      <c r="G84" s="130">
        <f>+'KGPCo WS A  - RB Support '!G50</f>
        <v>647801</v>
      </c>
      <c r="H84" s="123"/>
      <c r="I84" s="49" t="s">
        <v>727</v>
      </c>
      <c r="J84" s="50">
        <f t="shared" si="3"/>
        <v>0.1151916355991698</v>
      </c>
      <c r="K84" s="29"/>
      <c r="L84" s="123">
        <f>+J84*G84</f>
        <v>74621.2567327778</v>
      </c>
      <c r="O84" s="3"/>
    </row>
    <row r="85" spans="2:15" ht="15">
      <c r="B85" s="93">
        <f t="shared" si="2"/>
        <v>43</v>
      </c>
      <c r="C85" s="212"/>
      <c r="D85" s="42" t="s">
        <v>257</v>
      </c>
      <c r="E85" s="29" t="s">
        <v>622</v>
      </c>
      <c r="F85" s="29"/>
      <c r="G85" s="300">
        <f>-'KGPCo WS A  - RB Support '!G52</f>
        <v>0</v>
      </c>
      <c r="H85" s="123"/>
      <c r="I85" s="49" t="s">
        <v>727</v>
      </c>
      <c r="J85" s="50">
        <f t="shared" si="3"/>
        <v>0.1151916355991698</v>
      </c>
      <c r="K85" s="29"/>
      <c r="L85" s="123">
        <f>+J85*G85</f>
        <v>0</v>
      </c>
      <c r="O85" s="3"/>
    </row>
    <row r="86" spans="2:15" ht="15.75" thickBot="1">
      <c r="B86" s="93">
        <f t="shared" si="2"/>
        <v>44</v>
      </c>
      <c r="C86" s="212"/>
      <c r="D86" s="57" t="str">
        <f>+D69</f>
        <v>  Intangible Plant</v>
      </c>
      <c r="E86" s="29" t="s">
        <v>623</v>
      </c>
      <c r="F86" s="29"/>
      <c r="G86" s="124">
        <f>+'KGPCo WS A  - RB Support '!G54</f>
        <v>1427553</v>
      </c>
      <c r="H86" s="123"/>
      <c r="I86" s="49" t="s">
        <v>727</v>
      </c>
      <c r="J86" s="50">
        <f t="shared" si="3"/>
        <v>0.1151916355991698</v>
      </c>
      <c r="K86" s="29"/>
      <c r="L86" s="124">
        <f>+J86*G86</f>
        <v>164442.16497450165</v>
      </c>
      <c r="O86" s="3"/>
    </row>
    <row r="87" spans="2:15" ht="15">
      <c r="B87" s="93">
        <f t="shared" si="2"/>
        <v>45</v>
      </c>
      <c r="C87" s="212"/>
      <c r="D87" s="57" t="s">
        <v>671</v>
      </c>
      <c r="E87" s="266" t="str">
        <f>"(sum lns "&amp;B73&amp;" to "&amp;B86&amp;")"</f>
        <v>(sum lns 31 to 44)</v>
      </c>
      <c r="F87" s="752"/>
      <c r="G87" s="123">
        <f>SUM(G73:G86)</f>
        <v>52994354</v>
      </c>
      <c r="H87" s="123"/>
      <c r="I87" s="49"/>
      <c r="J87" s="29"/>
      <c r="K87" s="123"/>
      <c r="L87" s="123">
        <f>SUM(L73:L86)</f>
        <v>10276386.92170728</v>
      </c>
      <c r="O87" s="3"/>
    </row>
    <row r="88" spans="2:15" ht="15">
      <c r="B88" s="93"/>
      <c r="C88" s="20"/>
      <c r="D88" s="13"/>
      <c r="E88" s="766"/>
      <c r="F88" s="752"/>
      <c r="G88" s="123"/>
      <c r="H88" s="123"/>
      <c r="I88" s="49"/>
      <c r="J88" s="315"/>
      <c r="K88" s="29"/>
      <c r="L88" s="123"/>
      <c r="O88" s="3"/>
    </row>
    <row r="89" spans="2:15" ht="15">
      <c r="B89" s="93">
        <f>+B87+1</f>
        <v>46</v>
      </c>
      <c r="C89" s="20"/>
      <c r="D89" s="17" t="s">
        <v>675</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6"/>
      <c r="K90" s="29"/>
      <c r="L90" s="123">
        <f>L59+L60-L73-L74</f>
        <v>0</v>
      </c>
      <c r="O90" s="3"/>
    </row>
    <row r="91" spans="2:15" ht="15">
      <c r="B91" s="95">
        <f t="shared" si="4"/>
        <v>48</v>
      </c>
      <c r="C91" s="44"/>
      <c r="D91" s="42" t="str">
        <f>+D75</f>
        <v>  Transmission</v>
      </c>
      <c r="E91" s="29" t="s">
        <v>588</v>
      </c>
      <c r="F91" s="29"/>
      <c r="G91" s="123">
        <f>+G61+G62-G75-G76</f>
        <v>9597928</v>
      </c>
      <c r="H91" s="123"/>
      <c r="I91" s="49"/>
      <c r="J91" s="314"/>
      <c r="K91" s="29"/>
      <c r="L91" s="123">
        <f>+L61+L62-L75-L76</f>
        <v>9597928</v>
      </c>
      <c r="O91" s="3"/>
    </row>
    <row r="92" spans="2:15" ht="15.75">
      <c r="B92" s="95">
        <f t="shared" si="4"/>
        <v>49</v>
      </c>
      <c r="C92" s="44"/>
      <c r="D92" s="45" t="str">
        <f>"     Plus: Transmission Plant-in-Service Additions (ln "&amp;B63&amp;" - ln "&amp;B77&amp;")"</f>
        <v>     Plus: Transmission Plant-in-Service Additions (ln 22 - ln 35)</v>
      </c>
      <c r="E92" s="29"/>
      <c r="F92" s="29"/>
      <c r="G92" s="505" t="s">
        <v>255</v>
      </c>
      <c r="H92" s="108"/>
      <c r="I92" s="32"/>
      <c r="J92" s="43"/>
      <c r="K92" s="19"/>
      <c r="L92" s="505" t="s">
        <v>255</v>
      </c>
      <c r="O92" s="3"/>
    </row>
    <row r="93" spans="2:15" ht="15.75">
      <c r="B93" s="95">
        <f t="shared" si="4"/>
        <v>50</v>
      </c>
      <c r="C93" s="44"/>
      <c r="D93" s="45" t="str">
        <f>"     Plus: Additional Trans Plant on Transferred Assets  (ln "&amp;B64&amp;" - ln "&amp;B78&amp;")"</f>
        <v>     Plus: Additional Trans Plant on Transferred Assets  (ln 23 - ln 36)</v>
      </c>
      <c r="E93" s="29"/>
      <c r="F93" s="29"/>
      <c r="G93" s="505" t="s">
        <v>255</v>
      </c>
      <c r="H93" s="108"/>
      <c r="I93" s="32"/>
      <c r="J93" s="43"/>
      <c r="K93" s="19"/>
      <c r="L93" s="505" t="s">
        <v>255</v>
      </c>
      <c r="O93" s="3"/>
    </row>
    <row r="94" spans="2:15" ht="15.75">
      <c r="B94" s="95">
        <f t="shared" si="4"/>
        <v>51</v>
      </c>
      <c r="C94" s="44"/>
      <c r="D94" s="494" t="str">
        <f>"     Plus: Additional Transmission Depreciation for "&amp;N1+1&amp;"  (-ln "&amp;B79&amp;")"</f>
        <v>     Plus: Additional Transmission Depreciation for 2012  (-ln 37)</v>
      </c>
      <c r="E94" s="29"/>
      <c r="F94" s="29"/>
      <c r="G94" s="505" t="s">
        <v>255</v>
      </c>
      <c r="H94" s="108"/>
      <c r="I94" s="32"/>
      <c r="J94" s="43"/>
      <c r="K94" s="19"/>
      <c r="L94" s="505" t="s">
        <v>255</v>
      </c>
      <c r="O94" s="3"/>
    </row>
    <row r="95" spans="2:15" ht="15.75">
      <c r="B95" s="95">
        <f t="shared" si="4"/>
        <v>52</v>
      </c>
      <c r="C95" s="44"/>
      <c r="D95" s="495" t="str">
        <f>"     Plus: Additional General &amp; Intangible Depreciation for "&amp;N1+1&amp;" (-ln "&amp;B80&amp;")"</f>
        <v>     Plus: Additional General &amp; Intangible Depreciation for 2012 (-ln 38)</v>
      </c>
      <c r="E95" s="29"/>
      <c r="F95" s="29"/>
      <c r="G95" s="505" t="s">
        <v>255</v>
      </c>
      <c r="H95" s="108"/>
      <c r="I95" s="32"/>
      <c r="J95" s="43"/>
      <c r="K95" s="19"/>
      <c r="L95" s="505" t="s">
        <v>255</v>
      </c>
      <c r="O95" s="3"/>
    </row>
    <row r="96" spans="2:15" ht="15.75">
      <c r="B96" s="95">
        <f t="shared" si="4"/>
        <v>53</v>
      </c>
      <c r="C96" s="44"/>
      <c r="D96" s="494" t="str">
        <f>"     Plus: Additional Accum Deprec on Transferred Assets (Worksheet I) (-ln "&amp;B81&amp;")"</f>
        <v>     Plus: Additional Accum Deprec on Transferred Assets (Worksheet I) (-ln 39)</v>
      </c>
      <c r="E96" s="29"/>
      <c r="F96" s="29"/>
      <c r="G96" s="505" t="s">
        <v>255</v>
      </c>
      <c r="H96" s="108"/>
      <c r="I96" s="32"/>
      <c r="J96" s="43"/>
      <c r="K96" s="19"/>
      <c r="L96" s="505" t="s">
        <v>255</v>
      </c>
      <c r="O96" s="3"/>
    </row>
    <row r="97" spans="2:15" ht="15">
      <c r="B97" s="95">
        <f t="shared" si="4"/>
        <v>54</v>
      </c>
      <c r="C97" s="44"/>
      <c r="D97" s="42" t="str">
        <f>+D82</f>
        <v>  Distribution</v>
      </c>
      <c r="E97" s="29" t="str">
        <f>" (ln "&amp;B65&amp;" + ln "&amp;B66&amp;" - ln "&amp;B82&amp;" - ln "&amp;B83&amp;")"</f>
        <v> (ln 24 + ln 25 - ln 40 - ln 41)</v>
      </c>
      <c r="F97" s="29"/>
      <c r="G97" s="123">
        <f>+G65+G66-G82-G83</f>
        <v>66537844.44499999</v>
      </c>
      <c r="H97" s="123"/>
      <c r="I97" s="49"/>
      <c r="J97" s="315"/>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1772513.065</v>
      </c>
      <c r="H98" s="123"/>
      <c r="I98" s="49"/>
      <c r="J98" s="315"/>
      <c r="K98" s="29"/>
      <c r="L98" s="123">
        <f>+L67+L68-L84-L85</f>
        <v>204178.67907824757</v>
      </c>
      <c r="O98" s="3"/>
    </row>
    <row r="99" spans="2:15" ht="15.75" thickBot="1">
      <c r="B99" s="95">
        <f t="shared" si="4"/>
        <v>56</v>
      </c>
      <c r="C99" s="44"/>
      <c r="D99" s="42" t="str">
        <f>+D86</f>
        <v>  Intangible Plant</v>
      </c>
      <c r="E99" s="29" t="str">
        <f>" (ln "&amp;B69&amp;" - ln "&amp;B86&amp;")"</f>
        <v> (ln 28 - ln 44)</v>
      </c>
      <c r="F99" s="29"/>
      <c r="G99" s="124">
        <f>+G69-G86</f>
        <v>-315148.4199999999</v>
      </c>
      <c r="H99" s="123"/>
      <c r="I99" s="49"/>
      <c r="J99" s="315"/>
      <c r="K99" s="29"/>
      <c r="L99" s="124">
        <f>+L69-L86</f>
        <v>-36302.46195629411</v>
      </c>
      <c r="O99" s="3"/>
    </row>
    <row r="100" spans="2:15" ht="15.75">
      <c r="B100" s="95">
        <f t="shared" si="4"/>
        <v>57</v>
      </c>
      <c r="C100" s="44"/>
      <c r="D100" s="42" t="s">
        <v>670</v>
      </c>
      <c r="E100" s="42" t="str">
        <f>"(sum lns "&amp;B90&amp;" to "&amp;B99&amp;")"</f>
        <v>(sum lns 47 to 56)</v>
      </c>
      <c r="F100" s="29"/>
      <c r="G100" s="123">
        <f>SUM(G90:G99)</f>
        <v>77593137.08999999</v>
      </c>
      <c r="H100" s="123"/>
      <c r="I100" s="265" t="s">
        <v>470</v>
      </c>
      <c r="J100" s="641">
        <f>IF(G100=0,0,L100/G100)</f>
        <v>0.1258591234144153</v>
      </c>
      <c r="K100" s="29"/>
      <c r="L100" s="123">
        <f>SUM(L91:L99)</f>
        <v>9765804.217121953</v>
      </c>
      <c r="O100" s="3"/>
    </row>
    <row r="101" spans="2:15" ht="15">
      <c r="B101" s="93"/>
      <c r="C101" s="20"/>
      <c r="D101" s="17"/>
      <c r="E101" s="29"/>
      <c r="F101" s="29"/>
      <c r="G101" s="123"/>
      <c r="H101" s="123"/>
      <c r="I101" s="15"/>
      <c r="J101" s="317"/>
      <c r="K101" s="29"/>
      <c r="L101" s="123"/>
      <c r="O101" s="3"/>
    </row>
    <row r="102" spans="2:15" ht="15">
      <c r="B102" s="93"/>
      <c r="C102" s="20"/>
      <c r="D102" s="13"/>
      <c r="G102" s="764"/>
      <c r="H102" s="764"/>
      <c r="I102"/>
      <c r="J102"/>
      <c r="K102"/>
      <c r="L102"/>
      <c r="O102" s="3"/>
    </row>
    <row r="103" spans="2:15" ht="15">
      <c r="B103" s="93">
        <f>+B100+1</f>
        <v>58</v>
      </c>
      <c r="C103" s="20"/>
      <c r="D103" s="17" t="s">
        <v>180</v>
      </c>
      <c r="E103" s="29" t="s">
        <v>158</v>
      </c>
      <c r="F103" s="49"/>
      <c r="G103" s="764"/>
      <c r="H103" s="764"/>
      <c r="I103"/>
      <c r="J103"/>
      <c r="K103"/>
      <c r="L103"/>
      <c r="O103" s="3"/>
    </row>
    <row r="104" spans="2:15" ht="15">
      <c r="B104" s="95">
        <f aca="true" t="shared" si="5" ref="B104:B109">+B103+1</f>
        <v>59</v>
      </c>
      <c r="C104" s="44"/>
      <c r="D104" s="61" t="s">
        <v>867</v>
      </c>
      <c r="E104" s="29" t="str">
        <f>"(Worksheet B, ln "&amp;'KGPCo WS B ADIT &amp; ITC'!A15&amp;" &amp; ln "&amp;'KGPCo WS B ADIT &amp; ITC'!A18&amp;".E)"</f>
        <v>(Worksheet B, ln 2 &amp; ln 5.E)</v>
      </c>
      <c r="F104" s="29"/>
      <c r="G104" s="123">
        <f>-'KGPCo WS B ADIT &amp; ITC'!I15</f>
        <v>0</v>
      </c>
      <c r="H104" s="123"/>
      <c r="I104" s="49" t="s">
        <v>722</v>
      </c>
      <c r="J104" s="50"/>
      <c r="K104" s="29"/>
      <c r="L104" s="123">
        <f>-'KGPCo WS B ADIT &amp; ITC'!I18</f>
        <v>0</v>
      </c>
      <c r="O104" s="3"/>
    </row>
    <row r="105" spans="2:15" ht="15">
      <c r="B105" s="95">
        <f t="shared" si="5"/>
        <v>60</v>
      </c>
      <c r="C105" s="44"/>
      <c r="D105" s="61" t="s">
        <v>870</v>
      </c>
      <c r="E105" s="29" t="str">
        <f>"(Worksheet B, ln "&amp;'KGPCo WS B ADIT &amp; ITC'!A23&amp;" &amp; ln "&amp;'KGPCo WS B ADIT &amp; ITC'!A26&amp;".E)"</f>
        <v>(Worksheet B, ln 7 &amp; ln 10.E)</v>
      </c>
      <c r="F105" s="29"/>
      <c r="G105" s="123">
        <f>-'KGPCo WS B ADIT &amp; ITC'!I23</f>
        <v>-13827902.8</v>
      </c>
      <c r="H105" s="123"/>
      <c r="I105" s="49" t="s">
        <v>724</v>
      </c>
      <c r="J105" s="50"/>
      <c r="K105" s="29"/>
      <c r="L105" s="123">
        <f>-'KGPCo WS B ADIT &amp; ITC'!I26</f>
        <v>-2304700.7250000015</v>
      </c>
      <c r="O105" s="3"/>
    </row>
    <row r="106" spans="2:15" ht="15">
      <c r="B106" s="95">
        <f t="shared" si="5"/>
        <v>61</v>
      </c>
      <c r="C106" s="44"/>
      <c r="D106" s="61" t="s">
        <v>871</v>
      </c>
      <c r="E106" s="29" t="str">
        <f>"(Worksheet B, ln "&amp;'KGPCo WS B ADIT &amp; ITC'!A31&amp;" &amp; ln "&amp;'KGPCo WS B ADIT &amp; ITC'!A34&amp;".E)"</f>
        <v>(Worksheet B, ln 12 &amp; ln 15.E)</v>
      </c>
      <c r="F106" s="29"/>
      <c r="G106" s="123">
        <f>-'KGPCo WS B ADIT &amp; ITC'!I31</f>
        <v>-1145155.58</v>
      </c>
      <c r="H106" s="123"/>
      <c r="I106" s="49" t="s">
        <v>724</v>
      </c>
      <c r="J106" s="50"/>
      <c r="K106" s="29"/>
      <c r="L106" s="123">
        <f>-'KGPCo WS B ADIT &amp; ITC'!I34</f>
        <v>-201606.9900000001</v>
      </c>
      <c r="O106" s="3"/>
    </row>
    <row r="107" spans="2:15" ht="15">
      <c r="B107" s="95">
        <f t="shared" si="5"/>
        <v>62</v>
      </c>
      <c r="C107" s="44"/>
      <c r="D107" s="61" t="s">
        <v>872</v>
      </c>
      <c r="E107" s="29" t="str">
        <f>"(Worksheet B, ln "&amp;'KGPCo WS B ADIT &amp; ITC'!A39&amp;" &amp; ln "&amp;'KGPCo WS B ADIT &amp; ITC'!A42&amp;".E)"</f>
        <v>(Worksheet B, ln 17 &amp; ln 20.E)</v>
      </c>
      <c r="F107" s="29"/>
      <c r="G107" s="123">
        <f>+'KGPCo WS B ADIT &amp; ITC'!I39</f>
        <v>791471.6950000001</v>
      </c>
      <c r="H107" s="123"/>
      <c r="I107" s="49" t="s">
        <v>724</v>
      </c>
      <c r="J107" s="50"/>
      <c r="K107" s="29"/>
      <c r="L107" s="123">
        <f>+'KGPCo WS B ADIT &amp; ITC'!I42</f>
        <v>77257.71500000008</v>
      </c>
      <c r="O107" s="3"/>
    </row>
    <row r="108" spans="2:15" ht="15.75" thickBot="1">
      <c r="B108" s="95">
        <f t="shared" si="5"/>
        <v>63</v>
      </c>
      <c r="C108" s="44"/>
      <c r="D108" s="51" t="s">
        <v>729</v>
      </c>
      <c r="E108" s="29" t="str">
        <f>"(Worksheet B, ln "&amp;'KGPCo WS B ADIT &amp; ITC'!A49&amp;" &amp; ln "&amp;'KGPCo WS B ADIT &amp; ITC'!A50&amp;".E)"</f>
        <v>(Worksheet B, ln 24 &amp; ln 25.E)</v>
      </c>
      <c r="F108" s="15"/>
      <c r="G108" s="124">
        <f>-+'KGPCo WS B ADIT &amp; ITC'!I49</f>
        <v>-133832</v>
      </c>
      <c r="H108" s="123"/>
      <c r="I108" s="49" t="s">
        <v>724</v>
      </c>
      <c r="J108" s="50"/>
      <c r="K108" s="29"/>
      <c r="L108" s="124">
        <f>-+'KGPCo WS B ADIT &amp; ITC'!I50</f>
        <v>-28444</v>
      </c>
      <c r="O108" s="3"/>
    </row>
    <row r="109" spans="2:12" ht="15">
      <c r="B109" s="95">
        <f t="shared" si="5"/>
        <v>64</v>
      </c>
      <c r="C109" s="44"/>
      <c r="D109" s="42" t="s">
        <v>684</v>
      </c>
      <c r="E109" s="42" t="str">
        <f>"(sum lns "&amp;B104&amp;" to "&amp;B108&amp;")"</f>
        <v>(sum lns 59 to 63)</v>
      </c>
      <c r="F109" s="29"/>
      <c r="G109" s="123">
        <f>SUM(G104:G108)</f>
        <v>-14315418.685</v>
      </c>
      <c r="H109" s="262"/>
      <c r="I109" s="49"/>
      <c r="J109" s="318"/>
      <c r="K109" s="29"/>
      <c r="L109" s="123">
        <f>SUM(L104:L108)</f>
        <v>-2457494.000000002</v>
      </c>
    </row>
    <row r="110" spans="2:12" ht="15">
      <c r="B110" s="93"/>
      <c r="C110" s="20"/>
      <c r="D110" s="42"/>
      <c r="E110" s="29"/>
      <c r="F110" s="29"/>
      <c r="G110" s="123"/>
      <c r="H110" s="262"/>
      <c r="I110" s="49"/>
      <c r="J110" s="315"/>
      <c r="K110" s="29"/>
      <c r="L110" s="123"/>
    </row>
    <row r="111" spans="2:12" ht="15">
      <c r="B111" s="93">
        <f>+B109+1</f>
        <v>65</v>
      </c>
      <c r="C111" s="20"/>
      <c r="D111" s="42" t="s">
        <v>887</v>
      </c>
      <c r="E111" s="29" t="str">
        <f>"(Worksheet A ln "&amp;'KGPCo WS A  - RB Support '!A78&amp;".E &amp; ln "&amp;'KGPCo WS A  - RB Support '!A80&amp;".E)"</f>
        <v>(Worksheet A ln 29.E &amp; ln 30.E)</v>
      </c>
      <c r="F111" s="29"/>
      <c r="G111" s="123">
        <f>+'KGPCo WS A  - RB Support '!G78</f>
        <v>246973.08000000002</v>
      </c>
      <c r="H111" s="262"/>
      <c r="I111" s="49" t="s">
        <v>724</v>
      </c>
      <c r="J111" s="50"/>
      <c r="K111" s="29"/>
      <c r="L111" s="123">
        <f>+'KGPCo WS A  - RB Support '!G80</f>
        <v>0</v>
      </c>
    </row>
    <row r="112" spans="2:12" ht="15">
      <c r="B112" s="93"/>
      <c r="C112" s="20"/>
      <c r="D112" s="42"/>
      <c r="E112" s="29"/>
      <c r="F112" s="29"/>
      <c r="G112" s="123"/>
      <c r="H112" s="262"/>
      <c r="I112" s="49"/>
      <c r="J112" s="50"/>
      <c r="K112" s="29"/>
      <c r="L112" s="123"/>
    </row>
    <row r="113" spans="2:12" ht="15">
      <c r="B113" s="97">
        <f>+B111+1</f>
        <v>66</v>
      </c>
      <c r="C113" s="81"/>
      <c r="D113" s="61" t="s">
        <v>181</v>
      </c>
      <c r="E113" s="29" t="str">
        <f>"(Worksheet A ln "&amp;'KGPCo WS A  - RB Support '!A89&amp;". "&amp;'KGPCo WS A  - RB Support '!G6&amp;")"</f>
        <v>(Worksheet A ln 36. (E))</v>
      </c>
      <c r="F113" s="29"/>
      <c r="G113" s="123">
        <f>+'KGPCo WS A  - RB Support '!G89</f>
        <v>0</v>
      </c>
      <c r="H113" s="262"/>
      <c r="I113" s="49" t="s">
        <v>724</v>
      </c>
      <c r="J113" s="29"/>
      <c r="K113" s="29"/>
      <c r="L113" s="123">
        <f>+G113</f>
        <v>0</v>
      </c>
    </row>
    <row r="114" spans="2:12" ht="15">
      <c r="B114" s="93"/>
      <c r="C114" s="20"/>
      <c r="D114" s="42"/>
      <c r="E114" s="29"/>
      <c r="F114" s="29"/>
      <c r="G114" s="123"/>
      <c r="H114" s="262"/>
      <c r="I114" s="49"/>
      <c r="J114" s="29"/>
      <c r="K114" s="29"/>
      <c r="L114" s="123"/>
    </row>
    <row r="115" spans="2:12" ht="15">
      <c r="B115" s="93">
        <f>+B113+1</f>
        <v>67</v>
      </c>
      <c r="C115" s="20"/>
      <c r="D115" s="42" t="s">
        <v>685</v>
      </c>
      <c r="E115" s="29" t="s">
        <v>446</v>
      </c>
      <c r="F115" s="29"/>
      <c r="G115" s="123"/>
      <c r="H115" s="262"/>
      <c r="I115" s="49"/>
      <c r="J115" s="29"/>
      <c r="K115" s="29"/>
      <c r="L115" s="123"/>
    </row>
    <row r="116" spans="2:12" ht="15">
      <c r="B116" s="95">
        <f aca="true" t="shared" si="6" ref="B116:B124">+B115+1</f>
        <v>68</v>
      </c>
      <c r="C116" s="44"/>
      <c r="D116" s="42" t="s">
        <v>886</v>
      </c>
      <c r="E116" s="29" t="str">
        <f>"(1/8 * ln "&amp;B152&amp;")"</f>
        <v>(1/8 * ln 88)</v>
      </c>
      <c r="F116" s="15"/>
      <c r="G116" s="123">
        <f>+G152/8</f>
        <v>53459.14125</v>
      </c>
      <c r="H116" s="29"/>
      <c r="I116" s="49"/>
      <c r="J116" s="315"/>
      <c r="K116" s="29"/>
      <c r="L116" s="123">
        <f>+L152/8</f>
        <v>53459.14125</v>
      </c>
    </row>
    <row r="117" spans="2:12" ht="15">
      <c r="B117" s="211">
        <f t="shared" si="6"/>
        <v>69</v>
      </c>
      <c r="C117" s="212"/>
      <c r="D117" s="42" t="s">
        <v>189</v>
      </c>
      <c r="E117" s="29" t="s">
        <v>624</v>
      </c>
      <c r="F117" s="29"/>
      <c r="G117" s="123">
        <f>+'KGPCo WS C  - Working Capital'!I15</f>
        <v>657.5</v>
      </c>
      <c r="H117" s="764"/>
      <c r="I117" s="32" t="s">
        <v>715</v>
      </c>
      <c r="J117" s="50">
        <f aca="true" t="shared" si="7" ref="J117:J123">VLOOKUP(I117,APCo_TU_Allocators,2,FALSE)</f>
        <v>1</v>
      </c>
      <c r="K117" s="19"/>
      <c r="L117" s="108">
        <f>+J117*G117</f>
        <v>657.5</v>
      </c>
    </row>
    <row r="118" spans="2:12" ht="15">
      <c r="B118" s="211">
        <f t="shared" si="6"/>
        <v>70</v>
      </c>
      <c r="C118" s="212"/>
      <c r="D118" s="42" t="s">
        <v>190</v>
      </c>
      <c r="E118" s="29" t="s">
        <v>625</v>
      </c>
      <c r="F118" s="29"/>
      <c r="G118" s="123">
        <f>+'KGPCo WS C  - Working Capital'!I17</f>
        <v>228.5</v>
      </c>
      <c r="H118" s="764"/>
      <c r="I118" s="32" t="s">
        <v>727</v>
      </c>
      <c r="J118" s="50">
        <f t="shared" si="7"/>
        <v>0.1151916355991698</v>
      </c>
      <c r="K118" s="19"/>
      <c r="L118" s="108">
        <f>+J118*G118</f>
        <v>26.3212887344103</v>
      </c>
    </row>
    <row r="119" spans="2:12" ht="15">
      <c r="B119" s="211">
        <f t="shared" si="6"/>
        <v>71</v>
      </c>
      <c r="C119" s="212"/>
      <c r="D119" s="42" t="s">
        <v>504</v>
      </c>
      <c r="E119" s="29" t="s">
        <v>594</v>
      </c>
      <c r="F119" s="29"/>
      <c r="G119" s="123">
        <f>+'KGPCo WS C  - Working Capital'!I19</f>
        <v>0</v>
      </c>
      <c r="H119" s="764"/>
      <c r="I119" s="32" t="s">
        <v>191</v>
      </c>
      <c r="J119" s="50">
        <f t="shared" si="7"/>
        <v>0.15347711309513018</v>
      </c>
      <c r="K119" s="19"/>
      <c r="L119" s="108">
        <f>+J119*G119</f>
        <v>0</v>
      </c>
    </row>
    <row r="120" spans="2:12" ht="15">
      <c r="B120" s="211">
        <f t="shared" si="6"/>
        <v>72</v>
      </c>
      <c r="C120" s="212"/>
      <c r="D120" s="61" t="s">
        <v>16</v>
      </c>
      <c r="E120" s="29" t="s">
        <v>626</v>
      </c>
      <c r="F120" s="29"/>
      <c r="G120" s="123">
        <f>+'KGPCo WS C  - Working Capital'!J29</f>
        <v>4814239.995</v>
      </c>
      <c r="H120" s="262"/>
      <c r="I120" s="49" t="s">
        <v>727</v>
      </c>
      <c r="J120" s="50">
        <f t="shared" si="7"/>
        <v>0.1151916355991698</v>
      </c>
      <c r="K120" s="29"/>
      <c r="L120" s="123">
        <f>+J120*G120</f>
        <v>554560.179190989</v>
      </c>
    </row>
    <row r="121" spans="2:12" ht="15">
      <c r="B121" s="95">
        <f t="shared" si="6"/>
        <v>73</v>
      </c>
      <c r="C121" s="44"/>
      <c r="D121" s="42" t="s">
        <v>17</v>
      </c>
      <c r="E121" s="29" t="s">
        <v>627</v>
      </c>
      <c r="F121" s="29"/>
      <c r="G121" s="123">
        <f>+'KGPCo WS C  - Working Capital'!I29</f>
        <v>1158456.82</v>
      </c>
      <c r="H121" s="262"/>
      <c r="I121" s="49" t="s">
        <v>191</v>
      </c>
      <c r="J121" s="50">
        <f t="shared" si="7"/>
        <v>0.15347711309513018</v>
      </c>
      <c r="K121" s="29"/>
      <c r="L121" s="123">
        <f>+G121*J121</f>
        <v>177796.60837896488</v>
      </c>
    </row>
    <row r="122" spans="2:12" ht="15">
      <c r="B122" s="95">
        <f t="shared" si="6"/>
        <v>74</v>
      </c>
      <c r="C122" s="44"/>
      <c r="D122" s="42" t="s">
        <v>160</v>
      </c>
      <c r="E122" s="29" t="s">
        <v>628</v>
      </c>
      <c r="F122" s="29"/>
      <c r="G122" s="123">
        <f>+'KGPCo WS C  - Working Capital'!G29</f>
        <v>0</v>
      </c>
      <c r="H122" s="262"/>
      <c r="I122" s="49" t="s">
        <v>724</v>
      </c>
      <c r="J122" s="50">
        <f t="shared" si="7"/>
        <v>1</v>
      </c>
      <c r="K122" s="29"/>
      <c r="L122" s="123">
        <f>+G122</f>
        <v>0</v>
      </c>
    </row>
    <row r="123" spans="2:12" ht="15.75" thickBot="1">
      <c r="B123" s="95">
        <f t="shared" si="6"/>
        <v>75</v>
      </c>
      <c r="C123" s="44"/>
      <c r="D123" s="42" t="s">
        <v>699</v>
      </c>
      <c r="E123" s="29" t="s">
        <v>629</v>
      </c>
      <c r="F123" s="29"/>
      <c r="G123" s="124">
        <f>+'KGPCo WS C  - Working Capital'!E29</f>
        <v>-3799717.56</v>
      </c>
      <c r="H123" s="123"/>
      <c r="I123" s="49" t="s">
        <v>722</v>
      </c>
      <c r="J123" s="50">
        <f t="shared" si="7"/>
        <v>0</v>
      </c>
      <c r="K123" s="29"/>
      <c r="L123" s="124">
        <f>+G123*J123</f>
        <v>0</v>
      </c>
    </row>
    <row r="124" spans="2:12" ht="15">
      <c r="B124" s="95">
        <f t="shared" si="6"/>
        <v>76</v>
      </c>
      <c r="C124" s="44"/>
      <c r="D124" s="42" t="s">
        <v>669</v>
      </c>
      <c r="E124" s="42" t="str">
        <f>"(sum lns "&amp;B116&amp;" to "&amp;B123&amp;")"</f>
        <v>(sum lns 68 to 75)</v>
      </c>
      <c r="F124" s="26"/>
      <c r="G124" s="123">
        <f>SUM(G116:G123)</f>
        <v>2227324.3962500007</v>
      </c>
      <c r="H124" s="26"/>
      <c r="I124" s="81"/>
      <c r="J124" s="26"/>
      <c r="K124" s="26"/>
      <c r="L124" s="123">
        <f>SUM(L116:L123)</f>
        <v>786499.7501086884</v>
      </c>
    </row>
    <row r="125" spans="2:12" ht="15">
      <c r="B125" s="93"/>
      <c r="C125" s="20"/>
      <c r="D125" s="42"/>
      <c r="E125" s="18"/>
      <c r="F125" s="18"/>
      <c r="G125" s="108"/>
      <c r="H125" s="18"/>
      <c r="I125" s="20"/>
      <c r="J125" s="18"/>
      <c r="K125" s="18"/>
      <c r="L125" s="108"/>
    </row>
    <row r="126" spans="2:12" ht="15">
      <c r="B126" s="93">
        <f>+B124+1</f>
        <v>77</v>
      </c>
      <c r="C126" s="20"/>
      <c r="D126" s="61" t="s">
        <v>654</v>
      </c>
      <c r="E126" s="17" t="s">
        <v>630</v>
      </c>
      <c r="F126" s="18"/>
      <c r="G126" s="123">
        <f>-+'KGPCo WS D IPP Credits'!C21</f>
        <v>0</v>
      </c>
      <c r="H126" s="18"/>
      <c r="I126" s="133" t="s">
        <v>724</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65752015.88124999</v>
      </c>
      <c r="H128" s="19"/>
      <c r="I128" s="19"/>
      <c r="J128" s="48"/>
      <c r="K128" s="19"/>
      <c r="L128" s="120">
        <f>+L124+L111+L109+L100+L126+L113</f>
        <v>8094809.967230639</v>
      </c>
      <c r="N128">
        <f>+L128*N258</f>
        <v>0</v>
      </c>
    </row>
    <row r="129" spans="2:12" ht="16.5" thickTop="1">
      <c r="B129" s="93"/>
      <c r="C129" s="764"/>
      <c r="D129" s="764"/>
      <c r="E129" s="764"/>
      <c r="F129" s="764"/>
      <c r="G129" s="764"/>
      <c r="H129" s="764"/>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2011 with Average Ratebase Balances</v>
      </c>
      <c r="G133" s="19"/>
      <c r="H133" s="19"/>
      <c r="I133" s="19"/>
      <c r="J133" s="19"/>
      <c r="K133" s="19"/>
      <c r="L133" s="19"/>
    </row>
    <row r="134" spans="2:12" ht="15">
      <c r="B134" s="93"/>
      <c r="C134" s="20"/>
      <c r="D134" s="13"/>
      <c r="E134" s="19"/>
      <c r="F134" s="769"/>
      <c r="G134" s="19"/>
      <c r="H134" s="19"/>
      <c r="I134" s="19"/>
      <c r="J134" s="19"/>
      <c r="K134" s="19"/>
      <c r="L134" s="19"/>
    </row>
    <row r="135" spans="2:12" ht="15">
      <c r="B135" s="93"/>
      <c r="C135" s="20"/>
      <c r="D135" s="13"/>
      <c r="E135" s="23"/>
      <c r="F135" s="32" t="str">
        <f>F51</f>
        <v>KINGSPORT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716</v>
      </c>
      <c r="E137" s="20" t="s">
        <v>717</v>
      </c>
      <c r="F137" s="20"/>
      <c r="G137" s="20" t="s">
        <v>718</v>
      </c>
      <c r="H137" s="29"/>
      <c r="I137" s="1148" t="s">
        <v>719</v>
      </c>
      <c r="J137" s="1152"/>
      <c r="K137" s="19"/>
      <c r="L137" s="21" t="s">
        <v>720</v>
      </c>
    </row>
    <row r="138" spans="2:15" ht="15.75">
      <c r="B138" s="16"/>
      <c r="C138" s="13"/>
      <c r="D138" s="20"/>
      <c r="E138" s="20"/>
      <c r="F138" s="20"/>
      <c r="G138" s="20"/>
      <c r="H138" s="29"/>
      <c r="I138" s="19"/>
      <c r="J138" s="34"/>
      <c r="K138" s="19"/>
      <c r="L138" s="13"/>
      <c r="O138" s="54"/>
    </row>
    <row r="139" spans="2:15" ht="15.75">
      <c r="B139" s="95"/>
      <c r="C139" s="20"/>
      <c r="D139" s="38" t="s">
        <v>695</v>
      </c>
      <c r="E139" s="35" t="str">
        <f>E55</f>
        <v>Data Sources</v>
      </c>
      <c r="F139" s="37"/>
      <c r="G139" s="19"/>
      <c r="H139" s="29"/>
      <c r="I139" s="19"/>
      <c r="J139" s="20"/>
      <c r="K139" s="19"/>
      <c r="L139" s="35" t="str">
        <f>L55</f>
        <v>Total</v>
      </c>
      <c r="O139" s="54"/>
    </row>
    <row r="140" spans="2:15" ht="15.75">
      <c r="B140" s="16"/>
      <c r="C140" s="25"/>
      <c r="D140" s="55" t="s">
        <v>696</v>
      </c>
      <c r="E140" s="122" t="str">
        <f>E56</f>
        <v>(See "General Notes")</v>
      </c>
      <c r="F140" s="19"/>
      <c r="G140" s="122" t="str">
        <f>G56</f>
        <v>TO Total</v>
      </c>
      <c r="H140" s="308"/>
      <c r="I140" s="1146" t="str">
        <f>I56</f>
        <v>Allocator</v>
      </c>
      <c r="J140" s="1147"/>
      <c r="K140" s="39"/>
      <c r="L140" s="122" t="str">
        <f>L56</f>
        <v>Transmission</v>
      </c>
      <c r="O140" s="54"/>
    </row>
    <row r="141" spans="2:12" ht="15.75">
      <c r="B141" s="119" t="str">
        <f>B57</f>
        <v>Line</v>
      </c>
      <c r="C141" s="13"/>
      <c r="D141" s="17"/>
      <c r="E141" s="19"/>
      <c r="F141" s="19"/>
      <c r="G141" s="55"/>
      <c r="H141" s="299"/>
      <c r="I141" s="38"/>
      <c r="J141" s="13"/>
      <c r="K141" s="56"/>
      <c r="L141" s="55"/>
    </row>
    <row r="142" spans="2:12" ht="15.75" thickBot="1">
      <c r="B142" s="94" t="str">
        <f>B58</f>
        <v>No.</v>
      </c>
      <c r="C142" s="20"/>
      <c r="D142" s="17" t="s">
        <v>697</v>
      </c>
      <c r="E142" s="19"/>
      <c r="F142" s="19"/>
      <c r="G142" s="19"/>
      <c r="H142" s="29"/>
      <c r="I142" s="32"/>
      <c r="J142" s="19"/>
      <c r="K142" s="19"/>
      <c r="L142" s="19"/>
    </row>
    <row r="143" spans="2:12" ht="15">
      <c r="B143" s="98">
        <f>+B128+1</f>
        <v>79</v>
      </c>
      <c r="C143" s="20"/>
      <c r="D143" s="17" t="s">
        <v>721</v>
      </c>
      <c r="E143" s="19" t="s">
        <v>600</v>
      </c>
      <c r="F143" s="19"/>
      <c r="G143" s="123">
        <f>+'KGPCo Historic TCOS'!G143</f>
        <v>126737709</v>
      </c>
      <c r="H143" s="29"/>
      <c r="I143" s="32"/>
      <c r="J143" s="50"/>
      <c r="K143" s="19"/>
      <c r="L143" s="123"/>
    </row>
    <row r="144" spans="2:12" ht="15">
      <c r="B144" s="98">
        <f aca="true" t="shared" si="8" ref="B144:B150">+B143+1</f>
        <v>80</v>
      </c>
      <c r="C144" s="20"/>
      <c r="D144" s="57" t="s">
        <v>725</v>
      </c>
      <c r="E144" s="19" t="s">
        <v>601</v>
      </c>
      <c r="F144" s="29"/>
      <c r="G144" s="123">
        <f>+'KGPCo Historic TCOS'!G144</f>
        <v>5057866</v>
      </c>
      <c r="H144" s="29"/>
      <c r="I144" s="32"/>
      <c r="J144" s="50"/>
      <c r="K144" s="19"/>
      <c r="L144" s="123"/>
    </row>
    <row r="145" spans="2:12" ht="15">
      <c r="B145" s="98">
        <f t="shared" si="8"/>
        <v>81</v>
      </c>
      <c r="C145" s="20"/>
      <c r="D145" s="57" t="s">
        <v>94</v>
      </c>
      <c r="E145" s="19" t="s">
        <v>290</v>
      </c>
      <c r="F145" s="29"/>
      <c r="G145" s="123">
        <f>+'KGPCo Historic TCOS'!G145</f>
        <v>1694216</v>
      </c>
      <c r="H145" s="29"/>
      <c r="I145" s="49"/>
      <c r="J145" s="50"/>
      <c r="K145" s="29"/>
      <c r="L145" s="123"/>
    </row>
    <row r="146" spans="2:12" ht="15">
      <c r="B146" s="98">
        <f t="shared" si="8"/>
        <v>82</v>
      </c>
      <c r="C146" s="20"/>
      <c r="D146" s="57" t="s">
        <v>95</v>
      </c>
      <c r="E146" s="19" t="s">
        <v>291</v>
      </c>
      <c r="F146" s="29"/>
      <c r="G146" s="123">
        <f>+'KGPCo Historic TCOS'!G146</f>
        <v>0</v>
      </c>
      <c r="H146" s="29"/>
      <c r="I146" s="49"/>
      <c r="J146" s="50"/>
      <c r="K146" s="29"/>
      <c r="L146" s="123"/>
    </row>
    <row r="147" spans="2:15" ht="15.75" thickBot="1">
      <c r="B147" s="98">
        <f t="shared" si="8"/>
        <v>83</v>
      </c>
      <c r="C147" s="20"/>
      <c r="D147" s="57" t="s">
        <v>730</v>
      </c>
      <c r="E147" s="19" t="s">
        <v>289</v>
      </c>
      <c r="F147" s="29"/>
      <c r="G147" s="124">
        <f>+'KGPCo Historic TCOS'!G147</f>
        <v>478091</v>
      </c>
      <c r="H147" s="123"/>
      <c r="I147" s="103"/>
      <c r="J147" s="103"/>
      <c r="K147" s="103"/>
      <c r="L147"/>
      <c r="O147" s="3"/>
    </row>
    <row r="148" spans="2:15" ht="15">
      <c r="B148" s="98">
        <f t="shared" si="8"/>
        <v>84</v>
      </c>
      <c r="C148" s="20"/>
      <c r="D148" s="57" t="s">
        <v>96</v>
      </c>
      <c r="E148" s="29" t="str">
        <f>"(sum lns "&amp;B143&amp;"  to "&amp;B147&amp;")"</f>
        <v>(sum lns 79  to 83)</v>
      </c>
      <c r="F148" s="29"/>
      <c r="G148" s="123">
        <f>SUM(G143:G147)</f>
        <v>133967882</v>
      </c>
      <c r="H148" s="123"/>
      <c r="I148" s="103"/>
      <c r="J148" s="103"/>
      <c r="K148" s="103"/>
      <c r="L148"/>
      <c r="O148" s="3"/>
    </row>
    <row r="149" spans="2:15" ht="15">
      <c r="B149" s="98">
        <f t="shared" si="8"/>
        <v>85</v>
      </c>
      <c r="C149" s="20"/>
      <c r="D149" s="57" t="s">
        <v>182</v>
      </c>
      <c r="E149" s="29" t="str">
        <f>"(Note G) (Worksheet F, ln "&amp;'KGPCo WS F Misc Exp'!A31&amp;".C)"</f>
        <v>(Note G) (Worksheet F, ln 14.C)</v>
      </c>
      <c r="F149" s="29"/>
      <c r="G149" s="123">
        <f>+'KGPCo Historic TCOS'!G149</f>
        <v>50417.87</v>
      </c>
      <c r="H149" s="123"/>
      <c r="I149" s="103"/>
      <c r="J149" s="103"/>
      <c r="K149" s="103"/>
      <c r="L149"/>
      <c r="O149" s="3"/>
    </row>
    <row r="150" spans="2:15" ht="15">
      <c r="B150" s="98">
        <f t="shared" si="8"/>
        <v>86</v>
      </c>
      <c r="C150" s="20"/>
      <c r="D150" s="57" t="s">
        <v>642</v>
      </c>
      <c r="E150" s="29" t="s">
        <v>694</v>
      </c>
      <c r="F150" s="29"/>
      <c r="G150" s="123">
        <f>+'KGPCo Historic TCOS'!G150</f>
        <v>0</v>
      </c>
      <c r="H150" s="123"/>
      <c r="I150" s="103"/>
      <c r="J150" s="103"/>
      <c r="K150" s="103"/>
      <c r="L150"/>
      <c r="O150" s="3"/>
    </row>
    <row r="151" spans="2:15" ht="15.75" thickBot="1">
      <c r="B151" s="532">
        <f>+B150+1</f>
        <v>87</v>
      </c>
      <c r="C151" s="81"/>
      <c r="D151" s="57" t="s">
        <v>186</v>
      </c>
      <c r="E151" s="29" t="s">
        <v>412</v>
      </c>
      <c r="F151" s="29"/>
      <c r="G151" s="124">
        <f>+'KGPCo WS F Misc Exp'!D19</f>
        <v>0</v>
      </c>
      <c r="H151" s="123"/>
      <c r="I151" s="102"/>
      <c r="J151" s="102"/>
      <c r="K151" s="103"/>
      <c r="L151"/>
      <c r="O151" s="3"/>
    </row>
    <row r="152" spans="2:15" ht="15">
      <c r="B152" s="93">
        <f>+B151+1</f>
        <v>88</v>
      </c>
      <c r="C152" s="20"/>
      <c r="D152" s="57" t="s">
        <v>279</v>
      </c>
      <c r="E152" s="19" t="str">
        <f>"(lns "&amp;B147&amp;" - "&amp;B149&amp;" - "&amp;B150&amp;" - "&amp;B151&amp;")"</f>
        <v>(lns 83 - 85 - 86 - 87)</v>
      </c>
      <c r="F152" s="57"/>
      <c r="G152" s="123">
        <f>G147-G149-G150-G151</f>
        <v>427673.13</v>
      </c>
      <c r="H152" s="29"/>
      <c r="I152" s="32" t="s">
        <v>715</v>
      </c>
      <c r="J152" s="50">
        <f>VLOOKUP(I152,APCo_TU_Allocators,2,FALSE)</f>
        <v>1</v>
      </c>
      <c r="K152" s="29"/>
      <c r="L152" s="123">
        <f>+J152*G152</f>
        <v>427673.13</v>
      </c>
      <c r="O152" s="3"/>
    </row>
    <row r="153" spans="2:15" ht="15">
      <c r="B153" s="93"/>
      <c r="C153" s="20"/>
      <c r="D153" s="57"/>
      <c r="E153" s="29"/>
      <c r="F153" s="29"/>
      <c r="G153" s="368"/>
      <c r="H153" s="123"/>
      <c r="I153" s="103"/>
      <c r="J153" s="103"/>
      <c r="K153" s="103"/>
      <c r="L153"/>
      <c r="O153" s="3"/>
    </row>
    <row r="154" spans="2:15" ht="15">
      <c r="B154" s="93">
        <f>+B152+1</f>
        <v>89</v>
      </c>
      <c r="C154" s="20"/>
      <c r="D154" s="17" t="s">
        <v>698</v>
      </c>
      <c r="E154" s="19" t="s">
        <v>413</v>
      </c>
      <c r="F154" s="19"/>
      <c r="G154" s="123">
        <f>+'KGPCo Historic TCOS'!G154</f>
        <v>1928311</v>
      </c>
      <c r="H154" s="123"/>
      <c r="I154" s="43"/>
      <c r="J154" s="43"/>
      <c r="K154" s="19"/>
      <c r="L154" s="108"/>
      <c r="O154" s="3"/>
    </row>
    <row r="155" spans="2:15" ht="15">
      <c r="B155" s="93">
        <f aca="true" t="shared" si="9" ref="B155:B164">+B154+1</f>
        <v>90</v>
      </c>
      <c r="C155" s="20"/>
      <c r="D155" s="57" t="s">
        <v>184</v>
      </c>
      <c r="E155" s="19" t="s">
        <v>292</v>
      </c>
      <c r="F155" s="19"/>
      <c r="G155" s="123">
        <f>+'KGPCo Historic TCOS'!G155</f>
        <v>208315</v>
      </c>
      <c r="H155" s="123"/>
      <c r="I155" s="43"/>
      <c r="J155" s="17"/>
      <c r="K155" s="19"/>
      <c r="L155" s="108"/>
      <c r="O155" s="3"/>
    </row>
    <row r="156" spans="2:15" ht="15">
      <c r="B156" s="93">
        <f t="shared" si="9"/>
        <v>91</v>
      </c>
      <c r="C156" s="20"/>
      <c r="D156" s="17" t="s">
        <v>442</v>
      </c>
      <c r="E156" s="29" t="str">
        <f>'KGPCo Historic TCOS'!E156</f>
        <v>PBOP Worksheet O Line 9 &amp; 10, (Note K)</v>
      </c>
      <c r="F156" s="19"/>
      <c r="G156" s="123">
        <f>'KGPCo Historic TCOS'!G156</f>
        <v>298666</v>
      </c>
      <c r="H156" s="123"/>
      <c r="I156" s="43"/>
      <c r="J156" s="17"/>
      <c r="K156" s="19"/>
      <c r="L156" s="108"/>
      <c r="O156" s="3"/>
    </row>
    <row r="157" spans="2:15" ht="15">
      <c r="B157" s="93">
        <f t="shared" si="9"/>
        <v>92</v>
      </c>
      <c r="C157" s="20"/>
      <c r="D157" s="17" t="s">
        <v>67</v>
      </c>
      <c r="E157" s="29" t="str">
        <f>'KGPCo Historic TCOS'!E157</f>
        <v>PBOP Worksheet O  Line 11, (Note K)</v>
      </c>
      <c r="F157" s="19"/>
      <c r="G157" s="123">
        <f>'KGPCo Historic TCOS'!G157</f>
        <v>-110630</v>
      </c>
      <c r="H157" s="123"/>
      <c r="I157" s="43"/>
      <c r="J157" s="17"/>
      <c r="K157" s="19"/>
      <c r="L157" s="108"/>
      <c r="O157" s="3"/>
    </row>
    <row r="158" spans="2:15" ht="15">
      <c r="B158" s="93">
        <f t="shared" si="9"/>
        <v>93</v>
      </c>
      <c r="C158" s="20"/>
      <c r="D158" s="17" t="s">
        <v>428</v>
      </c>
      <c r="E158" s="29" t="str">
        <f>'KGPCo Historic TCOS'!E158</f>
        <v>PBOP Worksheet O Line 13, (Note K)</v>
      </c>
      <c r="F158" s="19"/>
      <c r="G158" s="123">
        <f>'KGPCo Historic TCOS'!G158</f>
        <v>25094</v>
      </c>
      <c r="H158" s="123"/>
      <c r="I158" s="43"/>
      <c r="J158" s="17"/>
      <c r="K158" s="19"/>
      <c r="L158" s="108"/>
      <c r="O158" s="3"/>
    </row>
    <row r="159" spans="2:15" ht="15">
      <c r="B159" s="93">
        <f t="shared" si="9"/>
        <v>94</v>
      </c>
      <c r="C159" s="20"/>
      <c r="D159" s="17" t="s">
        <v>183</v>
      </c>
      <c r="E159" s="19" t="s">
        <v>688</v>
      </c>
      <c r="F159" s="29"/>
      <c r="G159" s="123">
        <f>+'KGPCo Historic TCOS'!G159</f>
        <v>420</v>
      </c>
      <c r="H159" s="123"/>
      <c r="I159" s="43"/>
      <c r="J159" s="260"/>
      <c r="K159" s="19"/>
      <c r="L159" s="108"/>
      <c r="O159" s="3"/>
    </row>
    <row r="160" spans="2:15" ht="15">
      <c r="B160" s="93">
        <f t="shared" si="9"/>
        <v>95</v>
      </c>
      <c r="C160" s="20"/>
      <c r="D160" s="57" t="s">
        <v>702</v>
      </c>
      <c r="E160" s="19" t="s">
        <v>689</v>
      </c>
      <c r="F160" s="29"/>
      <c r="G160" s="123">
        <f>+'KGPCo Historic TCOS'!G160</f>
        <v>7240</v>
      </c>
      <c r="H160" s="123"/>
      <c r="I160" s="43"/>
      <c r="J160" s="43"/>
      <c r="K160" s="19"/>
      <c r="L160" s="108"/>
      <c r="O160" s="3"/>
    </row>
    <row r="161" spans="2:15" ht="15.75" thickBot="1">
      <c r="B161" s="93">
        <f t="shared" si="9"/>
        <v>96</v>
      </c>
      <c r="C161" s="20"/>
      <c r="D161" s="57" t="s">
        <v>185</v>
      </c>
      <c r="E161" s="19" t="s">
        <v>690</v>
      </c>
      <c r="F161" s="29"/>
      <c r="G161" s="124">
        <f>+'KGPCo Historic TCOS'!G161</f>
        <v>48182</v>
      </c>
      <c r="H161" s="123"/>
      <c r="I161" s="43"/>
      <c r="J161" s="43"/>
      <c r="K161" s="19"/>
      <c r="L161" s="108"/>
      <c r="O161" s="3"/>
    </row>
    <row r="162" spans="2:15" ht="15">
      <c r="B162" s="93">
        <f t="shared" si="9"/>
        <v>97</v>
      </c>
      <c r="C162" s="20"/>
      <c r="D162" s="17" t="s">
        <v>703</v>
      </c>
      <c r="E162" s="29" t="str">
        <f>"(ln "&amp;B154&amp;" - sum ln "&amp;B155&amp;"  to ln "&amp;B161&amp;")"</f>
        <v>(ln 89 - sum ln 90  to ln 96)</v>
      </c>
      <c r="F162" s="29"/>
      <c r="G162" s="123">
        <f>G154-SUM(G155:G161)</f>
        <v>1451024</v>
      </c>
      <c r="H162" s="123"/>
      <c r="I162" s="32" t="s">
        <v>727</v>
      </c>
      <c r="J162" s="50">
        <f aca="true" t="shared" si="10" ref="J162:J167">VLOOKUP(I162,APCo_TU_Allocators,2,FALSE)</f>
        <v>0.1151916355991698</v>
      </c>
      <c r="K162" s="19"/>
      <c r="L162" s="108">
        <f>+J162*G162</f>
        <v>167145.82785364977</v>
      </c>
      <c r="O162" s="3"/>
    </row>
    <row r="163" spans="2:15" ht="15">
      <c r="B163" s="97">
        <f t="shared" si="9"/>
        <v>98</v>
      </c>
      <c r="C163" s="81"/>
      <c r="D163" s="57" t="s">
        <v>874</v>
      </c>
      <c r="E163" s="29" t="str">
        <f>"(ln "&amp;B155&amp;")"</f>
        <v>(ln 90)</v>
      </c>
      <c r="F163" s="29"/>
      <c r="G163" s="123">
        <f>+G155</f>
        <v>208315</v>
      </c>
      <c r="H163" s="123"/>
      <c r="I163" s="214" t="s">
        <v>191</v>
      </c>
      <c r="J163" s="50">
        <f t="shared" si="10"/>
        <v>0.15347711309513018</v>
      </c>
      <c r="K163" s="29"/>
      <c r="L163" s="123">
        <f>+J163*G163</f>
        <v>31971.584814412043</v>
      </c>
      <c r="O163" s="3"/>
    </row>
    <row r="164" spans="2:15" ht="15">
      <c r="B164" s="93">
        <f t="shared" si="9"/>
        <v>99</v>
      </c>
      <c r="C164" s="20"/>
      <c r="D164" s="57" t="s">
        <v>57</v>
      </c>
      <c r="E164" s="29" t="str">
        <f>"Worksheet F ln "&amp;'KGPCo WS F Misc Exp'!A41&amp;".(E) (Note L)"</f>
        <v>Worksheet F ln 20.(E) (Note L)</v>
      </c>
      <c r="F164" s="29"/>
      <c r="G164" s="123">
        <f>+'KGPCo WS F Misc Exp'!F41</f>
        <v>0</v>
      </c>
      <c r="H164" s="123"/>
      <c r="I164" s="32" t="s">
        <v>715</v>
      </c>
      <c r="J164" s="50">
        <f>VLOOKUP(I164,APCo_Proj_Allocators,2,FALSE)</f>
        <v>1</v>
      </c>
      <c r="K164" s="19"/>
      <c r="L164" s="108">
        <f>J164*G164</f>
        <v>0</v>
      </c>
      <c r="O164" s="3"/>
    </row>
    <row r="165" spans="2:15" ht="15">
      <c r="B165" s="93">
        <f>B164+1</f>
        <v>100</v>
      </c>
      <c r="C165" s="20"/>
      <c r="D165" s="57" t="s">
        <v>87</v>
      </c>
      <c r="E165" s="29" t="str">
        <f>"Worksheet F ln "&amp;'KGPCo WS F Misc Exp'!A61&amp;".(E) (Note L)"</f>
        <v>Worksheet F ln 37.(E) (Note L)</v>
      </c>
      <c r="F165" s="29"/>
      <c r="G165" s="130">
        <f>+'KGPCo WS F Misc Exp'!F61</f>
        <v>0</v>
      </c>
      <c r="H165" s="29"/>
      <c r="I165" s="49" t="s">
        <v>715</v>
      </c>
      <c r="J165" s="50">
        <f>VLOOKUP(I165,APCo_Proj_Allocators,2,FALSE)</f>
        <v>1</v>
      </c>
      <c r="K165" s="19"/>
      <c r="L165" s="108">
        <f>+J165*G165</f>
        <v>0</v>
      </c>
      <c r="O165" s="3"/>
    </row>
    <row r="166" spans="2:15" ht="15">
      <c r="B166" s="93">
        <f>+B165+1</f>
        <v>101</v>
      </c>
      <c r="C166" s="20"/>
      <c r="D166" s="57" t="s">
        <v>88</v>
      </c>
      <c r="E166" s="29" t="str">
        <f>"Worksheet F ln "&amp;'KGPCo WS F Misc Exp'!A71&amp;".(E) (Note L)"</f>
        <v>Worksheet F ln 44.(E) (Note L)</v>
      </c>
      <c r="F166" s="29"/>
      <c r="G166" s="130">
        <f>+'KGPCo WS F Misc Exp'!F71</f>
        <v>31695</v>
      </c>
      <c r="H166" s="755"/>
      <c r="I166" s="49" t="s">
        <v>724</v>
      </c>
      <c r="J166" s="50">
        <f>VLOOKUP(I166,APCo_Proj_Allocators,2,FALSE)</f>
        <v>1</v>
      </c>
      <c r="K166" s="19"/>
      <c r="L166" s="147">
        <f>+J166*G166</f>
        <v>31695</v>
      </c>
      <c r="O166" s="3"/>
    </row>
    <row r="167" spans="2:15" ht="15.75" thickBot="1">
      <c r="B167" s="93">
        <f>+B166+1</f>
        <v>102</v>
      </c>
      <c r="C167" s="20"/>
      <c r="D167" s="57" t="s">
        <v>326</v>
      </c>
      <c r="E167" s="29" t="str">
        <f>'KGPCo Historic TCOS'!E167</f>
        <v>PBOP Worksheet O, Col. C, Line 5, (Note M)</v>
      </c>
      <c r="F167" s="29"/>
      <c r="G167" s="124">
        <f>'KGPCo Historic TCOS'!G167</f>
        <v>363495</v>
      </c>
      <c r="H167" s="29"/>
      <c r="I167" s="49" t="s">
        <v>727</v>
      </c>
      <c r="J167" s="50">
        <f t="shared" si="10"/>
        <v>0.1151916355991698</v>
      </c>
      <c r="K167" s="29"/>
      <c r="L167" s="124">
        <f>+G167*J167</f>
        <v>41871.58358212023</v>
      </c>
      <c r="M167" s="102"/>
      <c r="O167" s="3"/>
    </row>
    <row r="168" spans="2:15" ht="15">
      <c r="B168" s="93">
        <f>+B167+1</f>
        <v>103</v>
      </c>
      <c r="C168" s="20"/>
      <c r="D168" s="17" t="s">
        <v>704</v>
      </c>
      <c r="E168" s="29" t="str">
        <f>"(sum lns "&amp;B162&amp;"  to "&amp;B167&amp;")"</f>
        <v>(sum lns 97  to 102)</v>
      </c>
      <c r="F168" s="29"/>
      <c r="G168" s="108">
        <f>SUM(G162:G167)</f>
        <v>2054529</v>
      </c>
      <c r="H168" s="123"/>
      <c r="I168" s="32"/>
      <c r="J168" s="43"/>
      <c r="K168" s="19"/>
      <c r="L168" s="108">
        <f>SUM(L162:L167)</f>
        <v>272683.99625018204</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286</v>
      </c>
      <c r="E170" s="29" t="str">
        <f>"(ln "&amp;B152&amp;" + ln "&amp;B168&amp;")"</f>
        <v>(ln 88 + ln 103)</v>
      </c>
      <c r="F170" s="29"/>
      <c r="G170" s="123">
        <f>+G152+G168</f>
        <v>2482202.13</v>
      </c>
      <c r="H170" s="123"/>
      <c r="I170" s="49"/>
      <c r="J170" s="29"/>
      <c r="K170" s="29"/>
      <c r="L170" s="123">
        <f>L152+L168</f>
        <v>700357.126250182</v>
      </c>
      <c r="O170" s="3"/>
    </row>
    <row r="171" spans="2:15" ht="15">
      <c r="B171" s="93">
        <f>+B170+1</f>
        <v>105</v>
      </c>
      <c r="C171" s="81"/>
      <c r="D171" s="57" t="s">
        <v>408</v>
      </c>
      <c r="E171" s="29" t="s">
        <v>421</v>
      </c>
      <c r="F171" s="29"/>
      <c r="G171" s="130">
        <f>+'KGPCo Historic TCOS'!G171</f>
        <v>0</v>
      </c>
      <c r="H171" s="123"/>
      <c r="I171" s="32" t="s">
        <v>724</v>
      </c>
      <c r="J171" s="50">
        <f>VLOOKUP(I171,APCo_TU_Allocators,2,FALSE)</f>
        <v>1</v>
      </c>
      <c r="K171" s="29"/>
      <c r="L171" s="108">
        <f>J171*G171</f>
        <v>0</v>
      </c>
      <c r="O171" s="3"/>
    </row>
    <row r="172" spans="2:15" ht="15.75" thickBot="1">
      <c r="B172" s="93">
        <f>+B171+1</f>
        <v>106</v>
      </c>
      <c r="C172" s="81"/>
      <c r="D172" s="57" t="s">
        <v>422</v>
      </c>
      <c r="E172" s="57"/>
      <c r="F172" s="29"/>
      <c r="G172" s="124">
        <f>+'KGPCo Historic TCOS'!G172</f>
        <v>0</v>
      </c>
      <c r="H172" s="123"/>
      <c r="I172" s="32" t="s">
        <v>724</v>
      </c>
      <c r="J172" s="50">
        <f>VLOOKUP(I172,APCo_TU_Allocators,2,FALSE)</f>
        <v>1</v>
      </c>
      <c r="K172" s="29"/>
      <c r="L172" s="109">
        <f>J172*G172</f>
        <v>0</v>
      </c>
      <c r="O172" s="3"/>
    </row>
    <row r="173" spans="2:15" ht="15">
      <c r="B173" s="93">
        <f>+B172+1</f>
        <v>107</v>
      </c>
      <c r="C173" s="20"/>
      <c r="D173" s="57" t="s">
        <v>705</v>
      </c>
      <c r="E173" s="29" t="str">
        <f>"(ln "&amp;B170&amp;" + ln "&amp;B171&amp;" + ln "&amp;B172&amp;")"</f>
        <v>(ln 104 + ln 105 + ln 106)</v>
      </c>
      <c r="F173" s="29"/>
      <c r="G173" s="123">
        <f>+G170+G171+G172</f>
        <v>2482202.13</v>
      </c>
      <c r="H173" s="123"/>
      <c r="I173" s="49"/>
      <c r="J173" s="29"/>
      <c r="K173" s="29"/>
      <c r="L173" s="123">
        <f>+L170+L171+L172</f>
        <v>700357.126250182</v>
      </c>
      <c r="O173" s="3"/>
    </row>
    <row r="174" spans="2:15" ht="15">
      <c r="B174" s="93"/>
      <c r="C174" s="20"/>
      <c r="D174" s="57"/>
      <c r="E174" s="19"/>
      <c r="F174" s="19"/>
      <c r="G174" s="108"/>
      <c r="H174" s="29"/>
      <c r="I174" s="19"/>
      <c r="J174" s="19"/>
      <c r="K174" s="19"/>
      <c r="L174" s="108"/>
      <c r="O174" s="3"/>
    </row>
    <row r="175" spans="2:15" ht="15">
      <c r="B175" s="93">
        <f>+B173+1</f>
        <v>108</v>
      </c>
      <c r="C175" s="20"/>
      <c r="D175" s="42" t="s">
        <v>708</v>
      </c>
      <c r="E175" s="49"/>
      <c r="F175" s="49"/>
      <c r="G175" s="108"/>
      <c r="H175" s="29"/>
      <c r="I175" s="32"/>
      <c r="J175" s="19"/>
      <c r="K175" s="19"/>
      <c r="L175" s="108"/>
      <c r="O175" s="3"/>
    </row>
    <row r="176" spans="2:15" ht="15">
      <c r="B176" s="93">
        <f aca="true" t="shared" si="11" ref="B176:B182">+B175+1</f>
        <v>109</v>
      </c>
      <c r="C176" s="20"/>
      <c r="D176" s="17" t="s">
        <v>721</v>
      </c>
      <c r="E176" s="333" t="s">
        <v>298</v>
      </c>
      <c r="F176" s="49"/>
      <c r="G176" s="302">
        <f>+'KGPCo Historic TCOS'!G176</f>
        <v>0</v>
      </c>
      <c r="H176" s="29"/>
      <c r="I176" s="32" t="s">
        <v>722</v>
      </c>
      <c r="J176" s="50">
        <f>VLOOKUP(I176,APCo_TU_Allocators,2,FALSE)</f>
        <v>0</v>
      </c>
      <c r="K176" s="19"/>
      <c r="L176" s="123">
        <f>+G176*J176</f>
        <v>0</v>
      </c>
      <c r="O176" s="3"/>
    </row>
    <row r="177" spans="2:15" ht="15">
      <c r="B177" s="93">
        <f t="shared" si="11"/>
        <v>110</v>
      </c>
      <c r="C177" s="20"/>
      <c r="D177" s="57" t="s">
        <v>725</v>
      </c>
      <c r="E177" s="333" t="s">
        <v>297</v>
      </c>
      <c r="F177" s="49"/>
      <c r="G177" s="302">
        <f>+'KGPCo Historic TCOS'!G177</f>
        <v>3750616</v>
      </c>
      <c r="H177" s="29"/>
      <c r="I177" s="32" t="s">
        <v>722</v>
      </c>
      <c r="J177" s="50">
        <f>VLOOKUP(I177,APCo_TU_Allocators,2,FALSE)</f>
        <v>0</v>
      </c>
      <c r="K177" s="19"/>
      <c r="L177" s="123">
        <f>+G177*J177</f>
        <v>0</v>
      </c>
      <c r="O177" s="3"/>
    </row>
    <row r="178" spans="2:15" ht="15">
      <c r="B178" s="93">
        <f t="shared" si="11"/>
        <v>111</v>
      </c>
      <c r="C178" s="20"/>
      <c r="D178" s="45" t="str">
        <f>+D147</f>
        <v>  Transmission </v>
      </c>
      <c r="E178" s="333" t="s">
        <v>293</v>
      </c>
      <c r="F178" s="58"/>
      <c r="G178" s="302">
        <f>+'KGPCo Historic TCOS'!G178</f>
        <v>487251</v>
      </c>
      <c r="H178" s="749"/>
      <c r="I178" s="756" t="s">
        <v>646</v>
      </c>
      <c r="J178" s="50">
        <f>VLOOKUP(I178,APCo_TU_Allocators,2,FALSE)</f>
        <v>1</v>
      </c>
      <c r="K178" s="47"/>
      <c r="L178" s="121">
        <f>J178*G178</f>
        <v>487251</v>
      </c>
      <c r="O178" s="3"/>
    </row>
    <row r="179" spans="2:15" ht="15.75">
      <c r="B179" s="93">
        <f t="shared" si="11"/>
        <v>112</v>
      </c>
      <c r="C179" s="20"/>
      <c r="D179" s="494" t="s">
        <v>404</v>
      </c>
      <c r="E179" s="46"/>
      <c r="F179" s="46"/>
      <c r="G179" s="505" t="s">
        <v>255</v>
      </c>
      <c r="H179" s="108"/>
      <c r="I179" s="32"/>
      <c r="J179" s="43"/>
      <c r="K179" s="19"/>
      <c r="L179" s="505" t="s">
        <v>255</v>
      </c>
      <c r="O179" s="3"/>
    </row>
    <row r="180" spans="2:15" ht="15">
      <c r="B180" s="93">
        <f>+B179+1</f>
        <v>113</v>
      </c>
      <c r="C180" s="20"/>
      <c r="D180" s="42" t="s">
        <v>731</v>
      </c>
      <c r="E180" s="58" t="s">
        <v>294</v>
      </c>
      <c r="F180" s="19"/>
      <c r="G180" s="123">
        <f>+'KGPCo Historic TCOS'!G180</f>
        <v>94952</v>
      </c>
      <c r="H180" s="123"/>
      <c r="I180" s="32" t="s">
        <v>727</v>
      </c>
      <c r="J180" s="50">
        <f>VLOOKUP(I180,APCo_TU_Allocators,2,FALSE)</f>
        <v>0.1151916355991698</v>
      </c>
      <c r="K180" s="19"/>
      <c r="L180" s="108">
        <f>+J180*G180</f>
        <v>10937.67618341237</v>
      </c>
      <c r="O180" s="3"/>
    </row>
    <row r="181" spans="2:15" ht="15.75" thickBot="1">
      <c r="B181" s="93">
        <f t="shared" si="11"/>
        <v>114</v>
      </c>
      <c r="C181" s="20"/>
      <c r="D181" s="42" t="s">
        <v>732</v>
      </c>
      <c r="E181" s="46" t="s">
        <v>295</v>
      </c>
      <c r="F181" s="29"/>
      <c r="G181" s="124">
        <f>+'KGPCo Historic TCOS'!G181</f>
        <v>63706</v>
      </c>
      <c r="H181" s="123"/>
      <c r="I181" s="32" t="s">
        <v>727</v>
      </c>
      <c r="J181" s="50">
        <f>VLOOKUP(I181,APCo_TU_Allocators,2,FALSE)</f>
        <v>0.1151916355991698</v>
      </c>
      <c r="K181" s="19"/>
      <c r="L181" s="109">
        <f>+J181*G181</f>
        <v>7338.398337480711</v>
      </c>
      <c r="O181" s="3"/>
    </row>
    <row r="182" spans="2:15" ht="15">
      <c r="B182" s="93">
        <f t="shared" si="11"/>
        <v>115</v>
      </c>
      <c r="C182" s="20"/>
      <c r="D182" s="42" t="s">
        <v>156</v>
      </c>
      <c r="E182" s="1133" t="str">
        <f>"(Ln "&amp;B176&amp;"+"&amp;B177&amp;"+
"&amp;B178&amp;"+"&amp;B179&amp;"+"&amp;B180&amp;"+"&amp;B181&amp;")"</f>
        <v>(Ln 109+110+
111+112+113+114)</v>
      </c>
      <c r="F182" s="90"/>
      <c r="G182" s="123">
        <f>+G176+G177+G178+G180+G181</f>
        <v>4396525</v>
      </c>
      <c r="H182" s="29"/>
      <c r="I182" s="32"/>
      <c r="J182" s="19"/>
      <c r="K182" s="19"/>
      <c r="L182" s="123">
        <f>+L176+L177+L178+L180+L181</f>
        <v>505527.0745208931</v>
      </c>
      <c r="O182" s="3"/>
    </row>
    <row r="183" spans="2:15" ht="15">
      <c r="B183" s="93"/>
      <c r="C183" s="20"/>
      <c r="D183" s="42"/>
      <c r="E183" s="1145"/>
      <c r="F183" s="90"/>
      <c r="G183" s="108"/>
      <c r="H183" s="29"/>
      <c r="I183" s="32"/>
      <c r="J183" s="19"/>
      <c r="K183" s="19"/>
      <c r="L183" s="108"/>
      <c r="O183" s="3"/>
    </row>
    <row r="184" spans="2:15" ht="15">
      <c r="B184" s="93">
        <f>+B182+1</f>
        <v>116</v>
      </c>
      <c r="C184" s="20"/>
      <c r="D184" s="42" t="s">
        <v>656</v>
      </c>
      <c r="E184" s="15" t="s">
        <v>296</v>
      </c>
      <c r="F184" s="13"/>
      <c r="G184" s="108"/>
      <c r="H184" s="29"/>
      <c r="I184" s="32"/>
      <c r="J184" s="19"/>
      <c r="K184" s="19"/>
      <c r="L184" s="108"/>
      <c r="O184" s="3"/>
    </row>
    <row r="185" spans="2:15" ht="15">
      <c r="B185" s="93">
        <f aca="true" t="shared" si="12" ref="B185:B191">+B184+1</f>
        <v>117</v>
      </c>
      <c r="C185" s="20"/>
      <c r="D185" s="42" t="s">
        <v>733</v>
      </c>
      <c r="E185" s="13"/>
      <c r="F185" s="13"/>
      <c r="G185" s="108"/>
      <c r="H185" s="29"/>
      <c r="I185" s="32"/>
      <c r="J185" s="13"/>
      <c r="K185" s="19"/>
      <c r="L185" s="108"/>
      <c r="O185" s="3"/>
    </row>
    <row r="186" spans="2:15" ht="15">
      <c r="B186" s="93">
        <f t="shared" si="12"/>
        <v>118</v>
      </c>
      <c r="C186" s="20"/>
      <c r="D186" s="42" t="s">
        <v>734</v>
      </c>
      <c r="E186" s="29" t="str">
        <f>"Worksheet H ln "&amp;'KGPCo WS H Other Taxes'!A39&amp;"."&amp;'KGPCo WS H Other Taxes'!I8&amp;""</f>
        <v>Worksheet H ln 21.(D)</v>
      </c>
      <c r="F186" s="19"/>
      <c r="G186" s="123">
        <f>+'KGPCo Historic TCOS'!G186</f>
        <v>123874</v>
      </c>
      <c r="H186" s="123"/>
      <c r="I186" s="32" t="s">
        <v>727</v>
      </c>
      <c r="J186" s="50">
        <f>VLOOKUP(I186,APCo_TU_Allocators,2,FALSE)</f>
        <v>0.1151916355991698</v>
      </c>
      <c r="K186" s="19"/>
      <c r="L186" s="108">
        <f>+J186*G186</f>
        <v>14269.24866821156</v>
      </c>
      <c r="O186" s="3"/>
    </row>
    <row r="187" spans="2:15" ht="15">
      <c r="B187" s="93">
        <f t="shared" si="12"/>
        <v>119</v>
      </c>
      <c r="C187" s="20"/>
      <c r="D187" s="42" t="s">
        <v>735</v>
      </c>
      <c r="E187" s="29" t="s">
        <v>709</v>
      </c>
      <c r="F187" s="19"/>
      <c r="G187" s="123"/>
      <c r="H187" s="123"/>
      <c r="I187" s="32"/>
      <c r="J187" s="13"/>
      <c r="K187" s="19"/>
      <c r="L187" s="108"/>
      <c r="O187" s="3"/>
    </row>
    <row r="188" spans="2:15" ht="15">
      <c r="B188" s="97">
        <f t="shared" si="12"/>
        <v>120</v>
      </c>
      <c r="C188" s="81"/>
      <c r="D188" s="61" t="s">
        <v>736</v>
      </c>
      <c r="E188" s="29" t="str">
        <f>"Worksheet H ln "&amp;'KGPCo WS H Other Taxes'!A39&amp;".(C) &amp; ln "&amp;'KGPCo WS H Other Taxes'!A60&amp;"."&amp;'KGPCo WS H Other Taxes'!G8&amp;""</f>
        <v>Worksheet H ln 21.(C) &amp; ln 35.(C)</v>
      </c>
      <c r="F188" s="29"/>
      <c r="G188" s="123">
        <f>+'KGPCo Historic TCOS'!G188</f>
        <v>848729</v>
      </c>
      <c r="H188" s="123"/>
      <c r="I188" s="49" t="s">
        <v>724</v>
      </c>
      <c r="J188" s="50"/>
      <c r="K188" s="29"/>
      <c r="L188" s="123">
        <f>IF(G188=0,0,+'KGPCo WS H Other Taxes'!G60)</f>
        <v>110043.04818154006</v>
      </c>
      <c r="O188" s="8"/>
    </row>
    <row r="189" spans="2:15" ht="15">
      <c r="B189" s="93">
        <f t="shared" si="12"/>
        <v>121</v>
      </c>
      <c r="C189" s="20"/>
      <c r="D189" s="42" t="s">
        <v>877</v>
      </c>
      <c r="E189" s="29" t="str">
        <f>"Worksheet H ln "&amp;'KGPCo WS H Other Taxes'!A39&amp;"."&amp;'KGPCo WS H Other Taxes'!M8&amp;""</f>
        <v>Worksheet H ln 21.(F)</v>
      </c>
      <c r="F189" s="19"/>
      <c r="G189" s="123">
        <f>+'KGPCo Historic TCOS'!G189</f>
        <v>3916007</v>
      </c>
      <c r="H189" s="102"/>
      <c r="I189" s="32" t="s">
        <v>722</v>
      </c>
      <c r="J189" s="50">
        <f>VLOOKUP(I189,APCo_TU_Allocators,2,FALSE)</f>
        <v>0</v>
      </c>
      <c r="K189" s="19"/>
      <c r="L189" s="108">
        <f>+J189*G189</f>
        <v>0</v>
      </c>
      <c r="O189" s="3"/>
    </row>
    <row r="190" spans="2:15" ht="15.75" thickBot="1">
      <c r="B190" s="93">
        <f t="shared" si="12"/>
        <v>122</v>
      </c>
      <c r="C190" s="20"/>
      <c r="D190" s="42" t="s">
        <v>737</v>
      </c>
      <c r="E190" s="29" t="str">
        <f>"Worksheet H ln "&amp;'KGPCo WS H Other Taxes'!A39&amp;"."&amp;'KGPCo WS H Other Taxes'!K8&amp;""</f>
        <v>Worksheet H ln 21.(E)</v>
      </c>
      <c r="F190" s="19"/>
      <c r="G190" s="124">
        <f>+'KGPCo Historic TCOS'!G190</f>
        <v>718147</v>
      </c>
      <c r="H190" s="102"/>
      <c r="I190" s="32" t="s">
        <v>191</v>
      </c>
      <c r="J190" s="50">
        <f>VLOOKUP(I190,APCo_TU_Allocators,2,FALSE)</f>
        <v>0.15347711309513018</v>
      </c>
      <c r="K190" s="19"/>
      <c r="L190" s="109">
        <f>+J190*G190</f>
        <v>110219.12833792846</v>
      </c>
      <c r="O190" s="3"/>
    </row>
    <row r="191" spans="2:15" ht="15">
      <c r="B191" s="93">
        <f t="shared" si="12"/>
        <v>123</v>
      </c>
      <c r="C191" s="20"/>
      <c r="D191" s="42" t="s">
        <v>657</v>
      </c>
      <c r="E191" s="106" t="str">
        <f>"(sum lns "&amp;B186&amp;" to "&amp;B190&amp;")"</f>
        <v>(sum lns 118 to 122)</v>
      </c>
      <c r="F191" s="19"/>
      <c r="G191" s="123">
        <f>SUM(G186:G190)</f>
        <v>5606757</v>
      </c>
      <c r="H191" s="29"/>
      <c r="I191" s="32"/>
      <c r="J191" s="31"/>
      <c r="K191" s="19"/>
      <c r="L191" s="108">
        <f>SUM(L186:L190)</f>
        <v>234531.42518768006</v>
      </c>
      <c r="O191" s="3"/>
    </row>
    <row r="192" spans="2:15" ht="15">
      <c r="B192" s="93"/>
      <c r="C192" s="20"/>
      <c r="D192" s="42"/>
      <c r="E192" s="19"/>
      <c r="F192" s="19"/>
      <c r="G192" s="19"/>
      <c r="H192" s="29"/>
      <c r="I192" s="32"/>
      <c r="J192" s="31"/>
      <c r="K192" s="19"/>
      <c r="L192" s="19"/>
      <c r="O192" s="3"/>
    </row>
    <row r="193" spans="2:15" ht="15">
      <c r="B193" s="93">
        <f>+B191+1</f>
        <v>124</v>
      </c>
      <c r="C193" s="20"/>
      <c r="D193" s="42" t="s">
        <v>193</v>
      </c>
      <c r="E193" s="29" t="s">
        <v>299</v>
      </c>
      <c r="F193" s="64"/>
      <c r="G193" s="19"/>
      <c r="H193" s="103"/>
      <c r="I193" s="23"/>
      <c r="J193" s="13"/>
      <c r="K193" s="19"/>
      <c r="L193" s="506"/>
      <c r="O193" s="3"/>
    </row>
    <row r="194" spans="2:15" ht="15">
      <c r="B194" s="93">
        <f aca="true" t="shared" si="13" ref="B194:B199">+B193+1</f>
        <v>125</v>
      </c>
      <c r="C194" s="20"/>
      <c r="D194" s="60" t="s">
        <v>194</v>
      </c>
      <c r="E194" s="19"/>
      <c r="F194" s="534"/>
      <c r="G194" s="455">
        <f>IF(F339&gt;0,1-(((1-F340)*(1-F339))/(1-F340*F339*F341)),0)</f>
        <v>0.392185</v>
      </c>
      <c r="H194" s="397"/>
      <c r="I194" s="23"/>
      <c r="J194" s="397"/>
      <c r="K194" s="19"/>
      <c r="L194" s="506"/>
      <c r="O194" s="3"/>
    </row>
    <row r="195" spans="2:15" ht="15">
      <c r="B195" s="93">
        <f t="shared" si="13"/>
        <v>126</v>
      </c>
      <c r="C195" s="20"/>
      <c r="D195" s="51" t="s">
        <v>195</v>
      </c>
      <c r="E195" s="19"/>
      <c r="F195" s="534"/>
      <c r="G195" s="455">
        <f>IF(L255&gt;0,($G194/(1-$G194))*(1-$L255/$L258),0)</f>
        <v>0.5056842130200995</v>
      </c>
      <c r="H195" s="397"/>
      <c r="I195" s="23"/>
      <c r="J195" s="13"/>
      <c r="K195" s="19"/>
      <c r="L195" s="506"/>
      <c r="O195" s="3"/>
    </row>
    <row r="196" spans="2:15" ht="15">
      <c r="B196" s="93">
        <f t="shared" si="13"/>
        <v>127</v>
      </c>
      <c r="C196" s="20"/>
      <c r="D196" s="61" t="str">
        <f>"       where WCLTD=(ln "&amp;B255&amp;") and WACC = (ln "&amp;B258&amp;")"</f>
        <v>       where WCLTD=(ln 162) and WACC = (ln 165)</v>
      </c>
      <c r="E196" s="29"/>
      <c r="F196" s="757"/>
      <c r="G196" s="19"/>
      <c r="H196" s="103"/>
      <c r="I196" s="23"/>
      <c r="J196" s="758"/>
      <c r="K196" s="19"/>
      <c r="L196" s="497"/>
      <c r="O196" s="3"/>
    </row>
    <row r="197" spans="2:15" ht="15">
      <c r="B197" s="93">
        <f t="shared" si="13"/>
        <v>128</v>
      </c>
      <c r="C197" s="20"/>
      <c r="D197" s="42" t="s">
        <v>303</v>
      </c>
      <c r="E197" s="760"/>
      <c r="F197" s="534"/>
      <c r="G197" s="19"/>
      <c r="H197" s="103"/>
      <c r="I197" s="23"/>
      <c r="J197" s="758"/>
      <c r="K197" s="19"/>
      <c r="L197" s="506"/>
      <c r="O197" s="3"/>
    </row>
    <row r="198" spans="2:15" ht="15">
      <c r="B198" s="93">
        <f t="shared" si="13"/>
        <v>129</v>
      </c>
      <c r="C198" s="20"/>
      <c r="D198" s="62" t="str">
        <f>"      GRCF=1 / (1 - T)  = (from ln "&amp;B194&amp;")"</f>
        <v>      GRCF=1 / (1 - T)  = (from ln 125)</v>
      </c>
      <c r="E198" s="64"/>
      <c r="F198" s="64"/>
      <c r="G198" s="456">
        <f>IF(G194&gt;0,1/(1-G194),0)</f>
        <v>1.6452374488948118</v>
      </c>
      <c r="H198" s="103"/>
      <c r="I198" s="129"/>
      <c r="J198" s="761"/>
      <c r="K198" s="108"/>
      <c r="L198" s="498"/>
      <c r="O198" s="3"/>
    </row>
    <row r="199" spans="2:15" ht="15">
      <c r="B199" s="93">
        <f t="shared" si="13"/>
        <v>130</v>
      </c>
      <c r="C199" s="20"/>
      <c r="D199" s="42" t="s">
        <v>196</v>
      </c>
      <c r="E199" s="43" t="s">
        <v>455</v>
      </c>
      <c r="F199" s="64"/>
      <c r="G199" s="123">
        <f>+'KGPCo Historic TCOS'!G199</f>
        <v>0</v>
      </c>
      <c r="H199" s="103"/>
      <c r="I199" s="129"/>
      <c r="J199" s="762"/>
      <c r="K199" s="108"/>
      <c r="L199" s="163"/>
      <c r="O199" s="3"/>
    </row>
    <row r="200" spans="2:15" ht="15">
      <c r="B200" s="93"/>
      <c r="C200" s="20"/>
      <c r="D200" s="42"/>
      <c r="E200" s="19"/>
      <c r="F200" s="534"/>
      <c r="G200" s="108"/>
      <c r="H200" s="103"/>
      <c r="I200" s="129"/>
      <c r="J200" s="759"/>
      <c r="K200" s="108"/>
      <c r="L200" s="506"/>
      <c r="O200" s="3"/>
    </row>
    <row r="201" spans="2:15" ht="15">
      <c r="B201" s="93">
        <f>+B199+1</f>
        <v>131</v>
      </c>
      <c r="C201" s="20"/>
      <c r="D201" s="60" t="s">
        <v>197</v>
      </c>
      <c r="E201" s="63" t="str">
        <f>"(ln "&amp;B195&amp;" * ln "&amp;B205&amp;")"</f>
        <v>(ln 126 * ln 134)</v>
      </c>
      <c r="F201" s="164"/>
      <c r="G201" s="108">
        <f>+G195*G205</f>
        <v>2864908.5403798874</v>
      </c>
      <c r="H201" s="103"/>
      <c r="I201" s="129"/>
      <c r="J201" s="759"/>
      <c r="K201" s="108"/>
      <c r="L201" s="108">
        <f>+L205*G195</f>
        <v>352702.34527492966</v>
      </c>
      <c r="O201" s="3"/>
    </row>
    <row r="202" spans="2:15" ht="15.75" thickBot="1">
      <c r="B202" s="93">
        <f>+B201+1</f>
        <v>132</v>
      </c>
      <c r="C202" s="20"/>
      <c r="D202" s="51" t="s">
        <v>198</v>
      </c>
      <c r="E202" s="63" t="str">
        <f>"(ln "&amp;B198&amp;" * ln "&amp;B199&amp;")"</f>
        <v>(ln 129 * ln 130)</v>
      </c>
      <c r="F202" s="63"/>
      <c r="G202" s="109">
        <f>G198*G199</f>
        <v>0</v>
      </c>
      <c r="H202" s="103"/>
      <c r="I202" s="204" t="s">
        <v>192</v>
      </c>
      <c r="J202" s="50">
        <f>VLOOKUP(I202,APCo_TU_Allocators,2,FALSE)</f>
        <v>0.1258591234144153</v>
      </c>
      <c r="K202" s="108"/>
      <c r="L202" s="109">
        <f>+G202*J202</f>
        <v>0</v>
      </c>
      <c r="O202" s="3"/>
    </row>
    <row r="203" spans="2:15" ht="15">
      <c r="B203" s="93">
        <f>+B202+1</f>
        <v>133</v>
      </c>
      <c r="C203" s="20"/>
      <c r="D203" s="60" t="s">
        <v>658</v>
      </c>
      <c r="E203" s="19" t="str">
        <f>"(sum lns "&amp;B201&amp;" to "&amp;B202&amp;")"</f>
        <v>(sum lns 131 to 132)</v>
      </c>
      <c r="F203" s="63"/>
      <c r="G203" s="132">
        <f>SUM(G201:G202)</f>
        <v>2864908.5403798874</v>
      </c>
      <c r="H203" s="103"/>
      <c r="I203" s="129" t="s">
        <v>709</v>
      </c>
      <c r="J203" s="763"/>
      <c r="K203" s="108"/>
      <c r="L203" s="132">
        <f>SUM(L201:L202)</f>
        <v>352702.34527492966</v>
      </c>
      <c r="O203" s="3"/>
    </row>
    <row r="204" spans="2:15" ht="15">
      <c r="B204" s="93"/>
      <c r="C204" s="20"/>
      <c r="D204" s="42"/>
      <c r="E204" s="19"/>
      <c r="F204" s="19"/>
      <c r="G204" s="19"/>
      <c r="H204" s="29"/>
      <c r="I204" s="32"/>
      <c r="J204" s="31"/>
      <c r="K204" s="19"/>
      <c r="L204" s="19"/>
      <c r="O204" s="3"/>
    </row>
    <row r="205" spans="2:15" ht="15">
      <c r="B205" s="93">
        <f>+B203+1</f>
        <v>134</v>
      </c>
      <c r="C205" s="20"/>
      <c r="D205" s="62" t="s">
        <v>876</v>
      </c>
      <c r="E205" s="62" t="str">
        <f>"(ln "&amp;B128&amp;" * ln "&amp;B258&amp;")"</f>
        <v>(ln 78 * ln 165)</v>
      </c>
      <c r="F205" s="48"/>
      <c r="G205" s="108">
        <f>+$L258*G128</f>
        <v>5665410.282970442</v>
      </c>
      <c r="H205" s="29"/>
      <c r="I205" s="129"/>
      <c r="J205" s="108"/>
      <c r="K205" s="108"/>
      <c r="L205" s="108">
        <f>+L258*L128</f>
        <v>697475.4920041587</v>
      </c>
      <c r="O205" s="163"/>
    </row>
    <row r="206" spans="2:12" ht="15">
      <c r="B206" s="93"/>
      <c r="C206" s="20"/>
      <c r="D206" s="60"/>
      <c r="E206" s="13"/>
      <c r="F206" s="13"/>
      <c r="G206" s="108"/>
      <c r="H206" s="108"/>
      <c r="I206" s="129"/>
      <c r="J206" s="129"/>
      <c r="K206" s="108"/>
      <c r="L206" s="108"/>
    </row>
    <row r="207" spans="2:12" ht="15">
      <c r="B207" s="93">
        <f>+B205+1</f>
        <v>135</v>
      </c>
      <c r="C207" s="20"/>
      <c r="D207" s="748" t="s">
        <v>693</v>
      </c>
      <c r="E207" s="13"/>
      <c r="F207" s="58"/>
      <c r="G207" s="123">
        <f>+'KGPCo WS D IPP Credits'!C11</f>
        <v>0</v>
      </c>
      <c r="H207" s="123"/>
      <c r="I207" s="133" t="s">
        <v>724</v>
      </c>
      <c r="J207" s="50">
        <f>VLOOKUP(I207,APCo_TU_Allocators,2,FALSE)</f>
        <v>1</v>
      </c>
      <c r="K207" s="121"/>
      <c r="L207" s="108">
        <f>+J207*G207</f>
        <v>0</v>
      </c>
    </row>
    <row r="208" spans="2:12" ht="15">
      <c r="B208" s="688"/>
      <c r="C208" s="20"/>
      <c r="D208" s="748"/>
      <c r="E208" s="13"/>
      <c r="F208" s="58"/>
      <c r="G208" s="123"/>
      <c r="H208" s="123"/>
      <c r="I208" s="133"/>
      <c r="J208" s="50"/>
      <c r="K208" s="121"/>
      <c r="L208" s="108"/>
    </row>
    <row r="209" spans="2:14" ht="15">
      <c r="B209" s="93">
        <f>+B207+1</f>
        <v>136</v>
      </c>
      <c r="C209" s="20"/>
      <c r="D209" s="748" t="str">
        <f>"(Gains) / Losses on Sales of Plant Held for Future Use (Worksheet N, ln "&amp;'KGPCo WS N - Sale of Plant Held'!A31&amp;", Cols. ("&amp;'KGPCo WS N - Sale of Plant Held'!O10&amp;" &amp; "&amp;'KGPCo WS N - Sale of Plant Held'!S10&amp;")"</f>
        <v>(Gains) / Losses on Sales of Plant Held for Future Use (Worksheet N, ln 4, Cols. ((F) &amp; (H))</v>
      </c>
      <c r="E209" s="15"/>
      <c r="F209" s="46"/>
      <c r="G209" s="123">
        <f>+'KGPCo WS N - Sale of Plant Held'!O31</f>
        <v>0</v>
      </c>
      <c r="H209" s="123"/>
      <c r="I209" s="611"/>
      <c r="J209" s="50"/>
      <c r="K209" s="302"/>
      <c r="L209" s="123">
        <f>'KGPCo WS N - Sale of Plant Held'!S31</f>
        <v>0</v>
      </c>
      <c r="M209" s="262"/>
      <c r="N209" s="764"/>
    </row>
    <row r="210" spans="2:14" ht="15">
      <c r="B210" s="93"/>
      <c r="C210" s="20"/>
      <c r="D210" s="748"/>
      <c r="E210" s="15"/>
      <c r="F210" s="46"/>
      <c r="G210" s="123"/>
      <c r="H210" s="123"/>
      <c r="I210" s="611"/>
      <c r="J210" s="50"/>
      <c r="K210" s="302"/>
      <c r="L210" s="123"/>
      <c r="M210" s="262"/>
      <c r="N210" s="764"/>
    </row>
    <row r="211" spans="2:14" ht="15">
      <c r="B211" s="93">
        <f>+B209+1</f>
        <v>137</v>
      </c>
      <c r="C211" s="20"/>
      <c r="D211" s="748" t="str">
        <f>" Tax Impact on Net Loss / (Gain) on Sales of Plant Held for Future Use (ln "&amp;B209&amp;" * ln"&amp;B195&amp;")"</f>
        <v> Tax Impact on Net Loss / (Gain) on Sales of Plant Held for Future Use (ln 136 * ln126)</v>
      </c>
      <c r="E211" s="15"/>
      <c r="F211" s="46"/>
      <c r="G211" s="123">
        <f>+-G209*G195</f>
        <v>0</v>
      </c>
      <c r="H211" s="123"/>
      <c r="I211" s="611"/>
      <c r="J211" s="50"/>
      <c r="K211" s="302"/>
      <c r="L211" s="123">
        <f>L209*-G195</f>
        <v>0</v>
      </c>
      <c r="M211" s="262"/>
      <c r="N211" s="764"/>
    </row>
    <row r="212" spans="2:12" ht="15.75" thickBot="1">
      <c r="B212" s="688"/>
      <c r="C212" s="20"/>
      <c r="D212" s="42"/>
      <c r="E212" s="13"/>
      <c r="F212" s="13"/>
      <c r="G212" s="109"/>
      <c r="H212" s="143"/>
      <c r="I212" s="129"/>
      <c r="J212" s="129"/>
      <c r="K212" s="108"/>
      <c r="L212" s="109"/>
    </row>
    <row r="213" spans="2:12" ht="15.75" thickBot="1">
      <c r="B213" s="93">
        <f>+B211+1</f>
        <v>138</v>
      </c>
      <c r="C213" s="20"/>
      <c r="D213" s="13" t="s">
        <v>97</v>
      </c>
      <c r="E213" s="13"/>
      <c r="F213" s="13"/>
      <c r="G213" s="161">
        <f>+G207+G205+G203+G191+G182+G173+G209+G211</f>
        <v>21015802.953350328</v>
      </c>
      <c r="H213" s="13"/>
      <c r="I213" s="13"/>
      <c r="J213" s="13"/>
      <c r="K213" s="13"/>
      <c r="L213" s="161">
        <f>+L207+L205+L203+L191+L182+L173+L209+L211</f>
        <v>2490593.4632378435</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2011 with Average Ratebase Balances</v>
      </c>
      <c r="G218" s="13"/>
      <c r="H218" s="13"/>
      <c r="I218" s="13"/>
      <c r="J218" s="13"/>
      <c r="K218" s="13"/>
    </row>
    <row r="219" spans="2:11" ht="15">
      <c r="B219" s="93"/>
      <c r="C219" s="20"/>
      <c r="E219" s="23"/>
      <c r="F219" s="770"/>
      <c r="G219" s="23"/>
      <c r="H219" s="23"/>
      <c r="I219" s="23"/>
      <c r="J219" s="23"/>
      <c r="K219" s="23"/>
    </row>
    <row r="220" spans="2:12" ht="15">
      <c r="B220" s="93"/>
      <c r="C220" s="20"/>
      <c r="D220" s="13"/>
      <c r="E220" s="17"/>
      <c r="F220" s="23" t="str">
        <f>F135</f>
        <v>KINGSPORT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663</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711</v>
      </c>
      <c r="C224" s="20"/>
      <c r="D224" s="40"/>
      <c r="E224" s="18"/>
      <c r="F224" s="18"/>
      <c r="G224" s="18"/>
      <c r="H224" s="18"/>
      <c r="I224" s="18"/>
      <c r="J224" s="18"/>
      <c r="K224" s="18"/>
      <c r="L224" s="18"/>
      <c r="O224" s="59"/>
    </row>
    <row r="225" spans="2:16" ht="15.75" thickBot="1">
      <c r="B225" s="94" t="s">
        <v>712</v>
      </c>
      <c r="C225" s="25"/>
      <c r="D225" s="57" t="s">
        <v>29</v>
      </c>
      <c r="E225" s="26"/>
      <c r="F225" s="26"/>
      <c r="G225" s="26"/>
      <c r="H225" s="26"/>
      <c r="I225" s="26"/>
      <c r="J225" s="26"/>
      <c r="K225" s="15"/>
      <c r="L225" s="13"/>
      <c r="O225" s="59"/>
      <c r="P225"/>
    </row>
    <row r="226" spans="2:16" ht="15">
      <c r="B226" s="93">
        <f>+B213+1</f>
        <v>139</v>
      </c>
      <c r="C226" s="20"/>
      <c r="D226" s="26" t="s">
        <v>761</v>
      </c>
      <c r="E226" s="146" t="str">
        <f>"(ln "&amp;B61&amp;")"</f>
        <v>(ln 20)</v>
      </c>
      <c r="F226" s="71"/>
      <c r="H226" s="72"/>
      <c r="I226" s="72"/>
      <c r="J226" s="72"/>
      <c r="K226" s="72"/>
      <c r="L226" s="130">
        <f>+G61</f>
        <v>19635251.5</v>
      </c>
      <c r="O226" s="59"/>
      <c r="P226"/>
    </row>
    <row r="227" spans="2:16" ht="15">
      <c r="B227" s="93">
        <f>+B226+1</f>
        <v>140</v>
      </c>
      <c r="C227" s="20"/>
      <c r="D227" s="26" t="s">
        <v>300</v>
      </c>
      <c r="E227" s="73"/>
      <c r="F227" s="73"/>
      <c r="G227" s="74"/>
      <c r="H227" s="73"/>
      <c r="I227" s="73"/>
      <c r="J227" s="73"/>
      <c r="K227" s="73"/>
      <c r="L227" s="683">
        <v>0</v>
      </c>
      <c r="P227"/>
    </row>
    <row r="228" spans="2:16" ht="15.75" thickBot="1">
      <c r="B228" s="93">
        <f>+B227+1</f>
        <v>141</v>
      </c>
      <c r="C228" s="20"/>
      <c r="D228" s="71" t="str">
        <f>"  Less transmission plant included in OATT Ancillary Services (Worksheet A, ln "&amp;'KGPCo WS A  - RB Support '!A62&amp;", Col. "&amp;'KGPCo WS A  - RB Support '!E6&amp;")  (Note Q)"</f>
        <v>  Less transmission plant included in OATT Ancillary Services (Worksheet A, ln 23, Col. (C))  (Note Q)</v>
      </c>
      <c r="E228" s="71"/>
      <c r="F228" s="71"/>
      <c r="G228" s="41"/>
      <c r="H228" s="72"/>
      <c r="I228" s="72"/>
      <c r="J228" s="41"/>
      <c r="K228" s="72"/>
      <c r="L228" s="217">
        <f>+'KGPCo WS A  - RB Support '!G62</f>
        <v>0</v>
      </c>
      <c r="P228"/>
    </row>
    <row r="229" spans="2:16" ht="15">
      <c r="B229" s="93">
        <f>+B228+1</f>
        <v>142</v>
      </c>
      <c r="C229" s="20"/>
      <c r="D229" s="26" t="s">
        <v>30</v>
      </c>
      <c r="E229" s="125" t="str">
        <f>"(ln "&amp;B226&amp;" - ln "&amp;B227&amp;" - ln "&amp;B228&amp;")"</f>
        <v>(ln 139 - ln 140 - ln 141)</v>
      </c>
      <c r="F229" s="71"/>
      <c r="H229" s="72"/>
      <c r="I229" s="72"/>
      <c r="J229" s="41"/>
      <c r="K229" s="72"/>
      <c r="L229" s="130">
        <f>L226-L227-L228</f>
        <v>19635251.5</v>
      </c>
      <c r="P229"/>
    </row>
    <row r="230" spans="2:16" ht="15">
      <c r="B230" s="93"/>
      <c r="C230" s="20"/>
      <c r="D230" s="15"/>
      <c r="E230" s="71"/>
      <c r="F230" s="71"/>
      <c r="G230" s="41"/>
      <c r="H230" s="72"/>
      <c r="I230" s="72"/>
      <c r="J230" s="41"/>
      <c r="K230" s="72"/>
      <c r="L230" s="73"/>
      <c r="P230"/>
    </row>
    <row r="231" spans="2:16" ht="15.75">
      <c r="B231" s="93">
        <f>+B229+1</f>
        <v>143</v>
      </c>
      <c r="C231" s="20"/>
      <c r="D231" s="26" t="s">
        <v>31</v>
      </c>
      <c r="E231" s="76" t="str">
        <f>"(ln "&amp;B229&amp;" / ln "&amp;B226&amp;")"</f>
        <v>(ln 142 / ln 139)</v>
      </c>
      <c r="F231" s="75"/>
      <c r="H231" s="77"/>
      <c r="I231" s="78"/>
      <c r="J231" s="78"/>
      <c r="K231" s="1008" t="s">
        <v>738</v>
      </c>
      <c r="L231" s="80">
        <f>IF(L226&gt;0,L229/L226,0)</f>
        <v>1</v>
      </c>
      <c r="P231"/>
    </row>
    <row r="232" spans="2:12" ht="15.75">
      <c r="B232" s="93"/>
      <c r="C232" s="20"/>
      <c r="D232" s="70"/>
      <c r="E232" s="26"/>
      <c r="F232" s="26"/>
      <c r="G232" s="145"/>
      <c r="H232" s="26"/>
      <c r="I232" s="81"/>
      <c r="J232" s="26"/>
      <c r="K232" s="26"/>
      <c r="L232" s="18"/>
    </row>
    <row r="233" spans="2:12" ht="30">
      <c r="B233" s="97">
        <f>B231+1</f>
        <v>144</v>
      </c>
      <c r="C233" s="81"/>
      <c r="D233" s="57" t="s">
        <v>664</v>
      </c>
      <c r="E233" s="49" t="s">
        <v>199</v>
      </c>
      <c r="F233" s="49" t="s">
        <v>857</v>
      </c>
      <c r="G233" s="213" t="s">
        <v>22</v>
      </c>
      <c r="H233" s="208" t="s">
        <v>713</v>
      </c>
      <c r="I233" s="32"/>
      <c r="J233" s="19"/>
      <c r="K233" s="19"/>
      <c r="L233" s="19"/>
    </row>
    <row r="234" spans="2:12" ht="15">
      <c r="B234" s="97">
        <f aca="true" t="shared" si="14" ref="B234:B239">+B233+1</f>
        <v>145</v>
      </c>
      <c r="C234" s="81"/>
      <c r="D234" s="57" t="s">
        <v>721</v>
      </c>
      <c r="E234" s="19" t="s">
        <v>306</v>
      </c>
      <c r="F234" s="29">
        <f>+'KGPCo Historic TCOS'!F234</f>
        <v>1066</v>
      </c>
      <c r="G234" s="29">
        <f>+'KGPCo Historic TCOS'!G234</f>
        <v>0</v>
      </c>
      <c r="H234" s="209">
        <f>+F234+G234</f>
        <v>1066</v>
      </c>
      <c r="I234" s="32" t="s">
        <v>722</v>
      </c>
      <c r="J234" s="50">
        <f>VLOOKUP(I234,APCo_TU_Allocators,2,FALSE)</f>
        <v>0</v>
      </c>
      <c r="K234" s="83"/>
      <c r="L234" s="108">
        <f>(F234+G234)*J234</f>
        <v>0</v>
      </c>
    </row>
    <row r="235" spans="2:12" ht="15">
      <c r="B235" s="97">
        <f t="shared" si="14"/>
        <v>146</v>
      </c>
      <c r="C235" s="81"/>
      <c r="D235" s="61" t="s">
        <v>723</v>
      </c>
      <c r="E235" s="29" t="s">
        <v>603</v>
      </c>
      <c r="F235" s="29">
        <f>+'KGPCo Historic TCOS'!F235</f>
        <v>156289</v>
      </c>
      <c r="G235" s="29">
        <f>+'KGPCo Historic TCOS'!G235</f>
        <v>84748</v>
      </c>
      <c r="H235" s="209">
        <f>+F235+G235</f>
        <v>241037</v>
      </c>
      <c r="I235" s="81" t="s">
        <v>715</v>
      </c>
      <c r="J235" s="50">
        <f>VLOOKUP(I235,APCo_TU_Allocators,2,FALSE)</f>
        <v>1</v>
      </c>
      <c r="K235" s="83"/>
      <c r="L235" s="108">
        <f>(F235+G235)*J235</f>
        <v>241037</v>
      </c>
    </row>
    <row r="236" spans="2:12" ht="15">
      <c r="B236" s="97">
        <f t="shared" si="14"/>
        <v>147</v>
      </c>
      <c r="C236" s="81"/>
      <c r="D236" s="61" t="s">
        <v>40</v>
      </c>
      <c r="E236" s="19" t="s">
        <v>373</v>
      </c>
      <c r="F236" s="29">
        <f>+'KGPCo Historic TCOS'!F236</f>
        <v>0</v>
      </c>
      <c r="G236" s="29">
        <f>+'KGPCo Historic TCOS'!G236</f>
        <v>0</v>
      </c>
      <c r="H236" s="209">
        <f>+F236+G236</f>
        <v>0</v>
      </c>
      <c r="I236" s="32" t="s">
        <v>722</v>
      </c>
      <c r="J236" s="50">
        <f>VLOOKUP(I236,APCo_TU_Allocators,2,FALSE)</f>
        <v>0</v>
      </c>
      <c r="K236" s="83"/>
      <c r="L236" s="162">
        <f>(F236+G236)*J236</f>
        <v>0</v>
      </c>
    </row>
    <row r="237" spans="2:12" ht="15">
      <c r="B237" s="97">
        <f t="shared" si="14"/>
        <v>148</v>
      </c>
      <c r="C237" s="81"/>
      <c r="D237" s="61" t="s">
        <v>725</v>
      </c>
      <c r="E237" s="19" t="s">
        <v>304</v>
      </c>
      <c r="F237" s="29">
        <f>+'KGPCo Historic TCOS'!F237</f>
        <v>918276</v>
      </c>
      <c r="G237" s="29">
        <f>+'KGPCo Historic TCOS'!G237</f>
        <v>122712</v>
      </c>
      <c r="H237" s="209">
        <f>+F237+G237</f>
        <v>1040988</v>
      </c>
      <c r="I237" s="32" t="s">
        <v>722</v>
      </c>
      <c r="J237" s="50">
        <f>VLOOKUP(I237,APCo_TU_Allocators,2,FALSE)</f>
        <v>0</v>
      </c>
      <c r="K237" s="83"/>
      <c r="L237" s="108">
        <f>(F237+G237)*J237</f>
        <v>0</v>
      </c>
    </row>
    <row r="238" spans="2:12" ht="15.75" thickBot="1">
      <c r="B238" s="97">
        <f t="shared" si="14"/>
        <v>149</v>
      </c>
      <c r="C238" s="81"/>
      <c r="D238" s="61" t="s">
        <v>878</v>
      </c>
      <c r="E238" s="19" t="s">
        <v>305</v>
      </c>
      <c r="F238" s="319">
        <f>+'KGPCo Historic TCOS'!F238</f>
        <v>283101</v>
      </c>
      <c r="G238" s="319">
        <f>+'KGPCo Historic TCOS'!G238</f>
        <v>526295</v>
      </c>
      <c r="H238" s="210">
        <f>+F238+G238</f>
        <v>809396</v>
      </c>
      <c r="I238" s="32" t="s">
        <v>722</v>
      </c>
      <c r="J238" s="50">
        <f>VLOOKUP(I238,APCo_TU_Allocators,2,FALSE)</f>
        <v>0</v>
      </c>
      <c r="K238" s="83"/>
      <c r="L238" s="109">
        <f>(F238+G238)*J238</f>
        <v>0</v>
      </c>
    </row>
    <row r="239" spans="2:12" ht="15">
      <c r="B239" s="97">
        <f t="shared" si="14"/>
        <v>150</v>
      </c>
      <c r="C239" s="81"/>
      <c r="D239" s="61" t="s">
        <v>713</v>
      </c>
      <c r="E239" s="61" t="str">
        <f>"(sum lns "&amp;B234&amp;" to "&amp;B238&amp;")"</f>
        <v>(sum lns 145 to 149)</v>
      </c>
      <c r="F239" s="29">
        <f>SUM(F234:F238)</f>
        <v>1358732</v>
      </c>
      <c r="G239" s="29">
        <f>SUM(G234:G238)</f>
        <v>733755</v>
      </c>
      <c r="H239" s="29">
        <f>SUM(H234:H238)</f>
        <v>2092487</v>
      </c>
      <c r="I239" s="32"/>
      <c r="J239" s="19"/>
      <c r="K239" s="19"/>
      <c r="L239" s="108">
        <f>SUM(L234:L238)</f>
        <v>241037</v>
      </c>
    </row>
    <row r="240" spans="2:9" ht="15">
      <c r="B240" s="97"/>
      <c r="C240" s="81"/>
      <c r="D240" s="61" t="s">
        <v>709</v>
      </c>
      <c r="E240" s="29" t="s">
        <v>709</v>
      </c>
      <c r="F240" s="29"/>
      <c r="G240" s="15"/>
      <c r="H240" s="29"/>
      <c r="I240" s="144"/>
    </row>
    <row r="241" spans="2:12" ht="15.75">
      <c r="B241" s="93">
        <f>B239+1</f>
        <v>151</v>
      </c>
      <c r="C241" s="20"/>
      <c r="D241" s="42" t="s">
        <v>667</v>
      </c>
      <c r="E241" s="29"/>
      <c r="F241" s="29"/>
      <c r="G241" s="29"/>
      <c r="H241" s="29"/>
      <c r="I241" s="144"/>
      <c r="K241" s="127" t="s">
        <v>668</v>
      </c>
      <c r="L241" s="128">
        <f>IF(H239&lt;&gt;0,L239/(F239+G239),0)</f>
        <v>0.1151916355991698</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875</v>
      </c>
      <c r="E244" s="29"/>
      <c r="F244" s="29"/>
      <c r="G244" s="29"/>
      <c r="H244" s="29"/>
      <c r="I244" s="29"/>
      <c r="J244" s="29"/>
      <c r="K244" s="29"/>
      <c r="L244" s="215" t="s">
        <v>739</v>
      </c>
    </row>
    <row r="245" spans="2:12" ht="15">
      <c r="B245" s="97">
        <f aca="true" t="shared" si="15" ref="B245:B252">+B244+1</f>
        <v>153</v>
      </c>
      <c r="C245" s="81"/>
      <c r="D245" s="29" t="s">
        <v>27</v>
      </c>
      <c r="E245" s="16" t="str">
        <f>"(Worksheet M, ln. "&amp;'KGPCo WS M - Avg Cap Structure'!A37&amp;", col. "&amp;'KGPCo WS M - Avg Cap Structure'!E6&amp;")"</f>
        <v>(Worksheet M, ln. 21, col. (E))</v>
      </c>
      <c r="F245" s="29"/>
      <c r="G245" s="29"/>
      <c r="H245" s="29"/>
      <c r="I245" s="29"/>
      <c r="J245" s="29"/>
      <c r="K245" s="29"/>
      <c r="L245" s="123">
        <f>+'KGPCo WS M - Avg Cap Structure'!E37</f>
        <v>904000</v>
      </c>
    </row>
    <row r="246" spans="2:12" ht="15">
      <c r="B246" s="97">
        <f t="shared" si="15"/>
        <v>154</v>
      </c>
      <c r="C246" s="81"/>
      <c r="D246" s="29" t="s">
        <v>28</v>
      </c>
      <c r="E246" s="16" t="str">
        <f>"(Worksheet M, ln. "&amp;'KGPCo WS M - Avg Cap Structure'!A86&amp;", col. "&amp;'KGPCo WS M - Avg Cap Structure'!E$6&amp;")"</f>
        <v>(Worksheet M, ln. 56, col. (E))</v>
      </c>
      <c r="F246" s="29"/>
      <c r="G246" s="29"/>
      <c r="H246" s="29"/>
      <c r="I246" s="29"/>
      <c r="J246" s="103"/>
      <c r="K246" s="29"/>
      <c r="L246" s="123">
        <f>+'KGPCo WS M - Avg Cap Structure'!E86</f>
        <v>0</v>
      </c>
    </row>
    <row r="247" spans="2:12" ht="15.75" thickBot="1">
      <c r="B247" s="97">
        <f t="shared" si="15"/>
        <v>155</v>
      </c>
      <c r="C247" s="81"/>
      <c r="D247" s="307" t="s">
        <v>89</v>
      </c>
      <c r="E247" s="29"/>
      <c r="F247" s="29"/>
      <c r="G247" s="29"/>
      <c r="H247" s="103"/>
      <c r="I247" s="103"/>
      <c r="J247" s="103"/>
      <c r="K247" s="29"/>
      <c r="L247" s="613" t="s">
        <v>457</v>
      </c>
    </row>
    <row r="248" spans="2:12" ht="15">
      <c r="B248" s="97">
        <f t="shared" si="15"/>
        <v>156</v>
      </c>
      <c r="C248" s="81"/>
      <c r="D248" s="29" t="s">
        <v>90</v>
      </c>
      <c r="E248" s="16" t="str">
        <f>"(Worksheet M, ln. "&amp;'KGPCo WS M - Avg Cap Structure'!A11&amp;", col. "&amp;'KGPCo WS M - Avg Cap Structure'!E$6&amp;")"</f>
        <v>(Worksheet M, ln. 1, col. (E))</v>
      </c>
      <c r="F248" s="29"/>
      <c r="G248" s="26"/>
      <c r="H248" s="103"/>
      <c r="I248" s="103"/>
      <c r="J248" s="103"/>
      <c r="K248" s="29"/>
      <c r="L248" s="492">
        <f>+'KGPCo WS M - Avg Cap Structure'!E11</f>
        <v>28511103</v>
      </c>
    </row>
    <row r="249" spans="2:12" ht="15">
      <c r="B249" s="97">
        <f t="shared" si="15"/>
        <v>157</v>
      </c>
      <c r="C249" s="81"/>
      <c r="D249" s="29" t="s">
        <v>244</v>
      </c>
      <c r="E249" s="16" t="str">
        <f>"(Worksheet M, ln. "&amp;'KGPCo WS M - Avg Cap Structure'!A12&amp;", col. "&amp;'KGPCo WS M - Avg Cap Structure'!E$6&amp;")"</f>
        <v>(Worksheet M, ln. 2, col. (E))</v>
      </c>
      <c r="F249" s="29"/>
      <c r="G249" s="29"/>
      <c r="H249" s="103"/>
      <c r="I249" s="103"/>
      <c r="J249" s="103"/>
      <c r="K249" s="29"/>
      <c r="L249" s="492">
        <f>+'KGPCo WS M - Avg Cap Structure'!E85</f>
        <v>0</v>
      </c>
    </row>
    <row r="250" spans="2:12" ht="15">
      <c r="B250" s="97">
        <f t="shared" si="15"/>
        <v>158</v>
      </c>
      <c r="C250" s="81"/>
      <c r="D250" s="29" t="s">
        <v>243</v>
      </c>
      <c r="E250" s="16" t="str">
        <f>"(Worksheet M, ln. "&amp;'KGPCo WS M - Avg Cap Structure'!A13&amp;", col. "&amp;'KGPCo WS M - Avg Cap Structure'!E$6&amp;")"</f>
        <v>(Worksheet M, ln. 3, col. (E))</v>
      </c>
      <c r="F250" s="29"/>
      <c r="G250" s="29"/>
      <c r="H250" s="103"/>
      <c r="I250" s="103"/>
      <c r="J250" s="103"/>
      <c r="K250" s="29"/>
      <c r="L250" s="492">
        <f>+'KGPCo WS M - Avg Cap Structure'!E13</f>
        <v>0</v>
      </c>
    </row>
    <row r="251" spans="2:13" ht="15.75" thickBot="1">
      <c r="B251" s="97">
        <f t="shared" si="15"/>
        <v>159</v>
      </c>
      <c r="C251" s="81"/>
      <c r="D251" s="29" t="s">
        <v>242</v>
      </c>
      <c r="E251" s="16" t="str">
        <f>"(Worksheet M, ln. "&amp;'KGPCo WS M - Avg Cap Structure'!A14&amp;", col. "&amp;'KGPCo WS M - Avg Cap Structure'!E$6&amp;")"</f>
        <v>(Worksheet M, ln. 4, col. (E))</v>
      </c>
      <c r="F251" s="29"/>
      <c r="G251" s="29"/>
      <c r="H251" s="103"/>
      <c r="I251" s="103"/>
      <c r="J251" s="103"/>
      <c r="K251" s="29"/>
      <c r="L251" s="217">
        <f>+'KGPCo WS M - Avg Cap Structure'!E14</f>
        <v>1715.545</v>
      </c>
      <c r="M251" s="764"/>
    </row>
    <row r="252" spans="2:13" ht="15">
      <c r="B252" s="97">
        <f t="shared" si="15"/>
        <v>160</v>
      </c>
      <c r="C252" s="81"/>
      <c r="D252" s="16" t="s">
        <v>91</v>
      </c>
      <c r="E252" s="29" t="str">
        <f>"(ln "&amp;B248&amp;" - ln "&amp;B249&amp;" - ln "&amp;B250&amp;" - ln "&amp;B251&amp;")"</f>
        <v>(ln 156 - ln 157 - ln 158 - ln 159)</v>
      </c>
      <c r="F252" s="263"/>
      <c r="G252" s="59"/>
      <c r="H252" s="103"/>
      <c r="I252" s="103"/>
      <c r="J252" s="103"/>
      <c r="K252" s="26"/>
      <c r="L252" s="300">
        <f>+L248-L249-L250-L251</f>
        <v>28509387.455</v>
      </c>
      <c r="M252" s="764"/>
    </row>
    <row r="253" spans="2:13" ht="15.75">
      <c r="B253" s="97"/>
      <c r="C253" s="81"/>
      <c r="D253" s="61"/>
      <c r="E253" s="29"/>
      <c r="F253" s="29"/>
      <c r="G253" s="1156" t="s">
        <v>856</v>
      </c>
      <c r="H253" s="1156"/>
      <c r="I253" s="29"/>
      <c r="J253" s="879" t="s">
        <v>740</v>
      </c>
      <c r="K253" s="29"/>
      <c r="L253" s="29"/>
      <c r="M253" s="764"/>
    </row>
    <row r="254" spans="2:21" ht="15.75" thickBot="1">
      <c r="B254" s="97">
        <f>+B252+1</f>
        <v>161</v>
      </c>
      <c r="C254" s="81"/>
      <c r="D254" s="61"/>
      <c r="E254" s="264" t="s">
        <v>458</v>
      </c>
      <c r="F254" s="29"/>
      <c r="G254" s="264" t="s">
        <v>436</v>
      </c>
      <c r="H254" s="880" t="s">
        <v>437</v>
      </c>
      <c r="I254" s="29"/>
      <c r="J254" s="881" t="s">
        <v>302</v>
      </c>
      <c r="K254" s="29"/>
      <c r="L254" s="264" t="s">
        <v>742</v>
      </c>
      <c r="M254" s="764"/>
      <c r="O254" s="33"/>
      <c r="P254" s="33"/>
      <c r="Q254" s="33"/>
      <c r="R254" s="33"/>
      <c r="S254" s="33"/>
      <c r="T254" s="33"/>
      <c r="U254" s="33"/>
    </row>
    <row r="255" spans="2:21" ht="15">
      <c r="B255" s="97">
        <f>+B254+1</f>
        <v>162</v>
      </c>
      <c r="C255" s="81"/>
      <c r="D255" s="61" t="str">
        <f>"  Long Term Debt  (Note T) W/S M, ln "&amp;'KGPCo WS M - Avg Cap Structure'!A24&amp;", ln "&amp;'KGPCo WS M - Avg Cap Structure'!A39&amp;", col. "&amp;'KGPCo WS M - Avg Cap Structure'!E6&amp;")"</f>
        <v>  Long Term Debt  (Note T) W/S M, ln 11, ln 22, col. (E))</v>
      </c>
      <c r="E255" s="123">
        <f>+'KGPCo WS M - Avg Cap Structure'!E24</f>
        <v>20000000</v>
      </c>
      <c r="F255" s="29"/>
      <c r="G255" s="882">
        <f>IF($E$258&gt;0,E255/$E$258,0)</f>
        <v>0.412291332652945</v>
      </c>
      <c r="H255" s="883">
        <f>IF(G257&gt;E260,1-H256-H257,0)</f>
        <v>0</v>
      </c>
      <c r="I255" s="884"/>
      <c r="J255" s="885">
        <f>IF(E255&gt;0,L245/E255,0)</f>
        <v>0.0452</v>
      </c>
      <c r="K255" s="15"/>
      <c r="L255" s="886">
        <f>IF(G$255&gt;H$255,J255*G255,J255*H255)</f>
        <v>0.018635568235913114</v>
      </c>
      <c r="M255" s="764"/>
      <c r="O255" s="33"/>
      <c r="P255" s="33"/>
      <c r="Q255" s="33"/>
      <c r="R255" s="33"/>
      <c r="S255" s="33"/>
      <c r="T255" s="33"/>
      <c r="U255" s="33"/>
    </row>
    <row r="256" spans="2:13" ht="15">
      <c r="B256" s="97">
        <f>+B255+1</f>
        <v>163</v>
      </c>
      <c r="C256" s="81"/>
      <c r="D256" s="61" t="str">
        <f>"  Preferred Stock (ln "&amp;B249&amp;")"</f>
        <v>  Preferred Stock (ln 157)</v>
      </c>
      <c r="E256" s="123">
        <f>+L249</f>
        <v>0</v>
      </c>
      <c r="F256" s="15"/>
      <c r="G256" s="882">
        <f>IF($E$258&gt;0,E256/$E$258,0)</f>
        <v>0</v>
      </c>
      <c r="H256" s="883">
        <f>IF(G257&gt;E260,G256,0)</f>
        <v>0</v>
      </c>
      <c r="I256" s="884"/>
      <c r="J256" s="885">
        <f>IF(E256&gt;0,L246/E256,0)</f>
        <v>0</v>
      </c>
      <c r="K256" s="15"/>
      <c r="L256" s="887">
        <f>IF(G$255&gt;H$255,J256*G256,J256*H256)</f>
        <v>0</v>
      </c>
      <c r="M256" s="764"/>
    </row>
    <row r="257" spans="2:13" ht="15.75" thickBot="1">
      <c r="B257" s="97">
        <f>+B256+1</f>
        <v>164</v>
      </c>
      <c r="C257" s="81"/>
      <c r="D257" s="61" t="str">
        <f>"  Common Stock (ln "&amp;B252&amp;")"</f>
        <v>  Common Stock (ln 160)</v>
      </c>
      <c r="E257" s="124">
        <f>+L252</f>
        <v>28509387.455</v>
      </c>
      <c r="F257" s="15"/>
      <c r="G257" s="882">
        <f>IF($E$258&gt;0,E257/$E$258,0)</f>
        <v>0.5877086673470551</v>
      </c>
      <c r="H257" s="883">
        <f>IF(G257&gt;E260,E260,0)</f>
        <v>0</v>
      </c>
      <c r="I257" s="884"/>
      <c r="J257" s="318">
        <f>+'KGPCo Historic TCOS'!J257</f>
        <v>0.1149</v>
      </c>
      <c r="K257" s="15"/>
      <c r="L257" s="888">
        <f>IF(G$255&gt;H$255,J257*G257,J257*H257)</f>
        <v>0.06752772587817663</v>
      </c>
      <c r="M257" s="764"/>
    </row>
    <row r="258" spans="2:14" ht="15.75">
      <c r="B258" s="97">
        <f>+B257+1</f>
        <v>165</v>
      </c>
      <c r="C258" s="81"/>
      <c r="D258" s="61" t="str">
        <f>" Total (Sum lns "&amp;B255&amp;" to "&amp;B257&amp;")"</f>
        <v> Total (Sum lns 162 to 164)</v>
      </c>
      <c r="E258" s="123">
        <f>E257+E256+E255</f>
        <v>48509387.455</v>
      </c>
      <c r="F258" s="15"/>
      <c r="G258" s="29" t="s">
        <v>709</v>
      </c>
      <c r="I258" s="29"/>
      <c r="J258" s="889"/>
      <c r="K258" s="265" t="s">
        <v>645</v>
      </c>
      <c r="L258" s="890">
        <f>SUM(L255:L257)</f>
        <v>0.08616329411408974</v>
      </c>
      <c r="M258" s="764"/>
      <c r="N258" s="837"/>
    </row>
    <row r="259" spans="2:21" ht="15">
      <c r="B259" s="96"/>
      <c r="C259" s="764"/>
      <c r="D259" s="764"/>
      <c r="E259" s="262"/>
      <c r="F259" s="262"/>
      <c r="G259" s="262"/>
      <c r="H259" s="262"/>
      <c r="I259" s="262"/>
      <c r="J259" s="142"/>
      <c r="K259" s="142"/>
      <c r="L259" s="142"/>
      <c r="M259" s="764"/>
      <c r="O259" s="87"/>
      <c r="P259" s="87"/>
      <c r="Q259" s="87"/>
      <c r="R259" s="87"/>
      <c r="S259" s="87"/>
      <c r="T259" s="87"/>
      <c r="U259" s="87"/>
    </row>
    <row r="260" spans="2:21" ht="15">
      <c r="B260" s="93">
        <f>+B258+1</f>
        <v>166</v>
      </c>
      <c r="C260" s="764"/>
      <c r="D260" s="595" t="s">
        <v>438</v>
      </c>
      <c r="E260" s="1007">
        <v>1</v>
      </c>
      <c r="F260" s="838"/>
      <c r="G260" s="892"/>
      <c r="H260" s="262"/>
      <c r="I260" s="262"/>
      <c r="J260" s="29"/>
      <c r="K260" s="26"/>
      <c r="L260" s="29"/>
      <c r="M260" s="764"/>
      <c r="O260" s="87"/>
      <c r="P260" s="87"/>
      <c r="Q260" s="87"/>
      <c r="R260" s="87"/>
      <c r="S260" s="87"/>
      <c r="T260" s="87"/>
      <c r="U260" s="87"/>
    </row>
    <row r="261" spans="2:21" ht="15">
      <c r="B261" s="93"/>
      <c r="C261" s="764"/>
      <c r="D261" s="764"/>
      <c r="E261" s="764"/>
      <c r="F261" s="764"/>
      <c r="G261" s="764"/>
      <c r="H261" s="764"/>
      <c r="I261" s="764"/>
      <c r="J261" s="19"/>
      <c r="K261" s="18"/>
      <c r="L261" s="19"/>
      <c r="M261" s="764"/>
      <c r="O261" s="87"/>
      <c r="P261" s="87"/>
      <c r="Q261" s="87"/>
      <c r="R261" s="87"/>
      <c r="S261" s="87"/>
      <c r="T261" s="87"/>
      <c r="U261" s="87"/>
    </row>
    <row r="262" spans="2:21" ht="15.75">
      <c r="B262" s="688"/>
      <c r="C262" s="20"/>
      <c r="D262" s="66"/>
      <c r="E262" s="66"/>
      <c r="F262" s="23" t="str">
        <f>F216</f>
        <v>AEP East Companies </v>
      </c>
      <c r="G262" s="67"/>
      <c r="H262" s="19"/>
      <c r="I262" s="19"/>
      <c r="J262" s="19"/>
      <c r="K262" s="18"/>
      <c r="L262" s="19"/>
      <c r="O262" s="87"/>
      <c r="P262" s="87"/>
      <c r="Q262" s="87"/>
      <c r="R262" s="87"/>
      <c r="S262" s="87"/>
      <c r="T262" s="87"/>
      <c r="U262" s="87"/>
    </row>
    <row r="263" spans="2:21" ht="15">
      <c r="B263" s="688"/>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88"/>
      <c r="C264" s="20"/>
      <c r="D264" s="68"/>
      <c r="E264" s="38"/>
      <c r="F264" s="23" t="str">
        <f>F218</f>
        <v>Utilizing Actual Cost Data for 2011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KINGSPORT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771</v>
      </c>
      <c r="C268" s="25"/>
      <c r="D268" s="57"/>
      <c r="E268" s="26"/>
      <c r="F268" s="203" t="s">
        <v>770</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546</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743</v>
      </c>
      <c r="C273" s="25"/>
      <c r="D273" s="57" t="s">
        <v>409</v>
      </c>
      <c r="E273" s="26"/>
      <c r="F273" s="26"/>
      <c r="G273" s="29"/>
      <c r="H273" s="29"/>
      <c r="I273" s="29"/>
      <c r="J273" s="29"/>
      <c r="K273" s="26"/>
      <c r="L273" s="29"/>
      <c r="O273" s="87"/>
      <c r="P273" s="87"/>
      <c r="Q273" s="87"/>
      <c r="R273" s="87"/>
      <c r="S273" s="87"/>
      <c r="T273" s="87"/>
      <c r="U273" s="87"/>
    </row>
    <row r="274" spans="2:21" ht="15">
      <c r="B274" s="99"/>
      <c r="C274" s="86"/>
      <c r="D274" s="57" t="s">
        <v>245</v>
      </c>
      <c r="E274" s="26"/>
      <c r="F274" s="26"/>
      <c r="G274" s="26"/>
      <c r="H274" s="26"/>
      <c r="I274" s="26"/>
      <c r="J274" s="26"/>
      <c r="K274" s="26"/>
      <c r="L274" s="26"/>
      <c r="O274" s="87"/>
      <c r="P274" s="87"/>
      <c r="Q274" s="87"/>
      <c r="R274" s="87"/>
      <c r="S274" s="87"/>
      <c r="T274" s="87"/>
      <c r="U274" s="87"/>
    </row>
    <row r="275" spans="2:21" ht="15">
      <c r="B275" s="100"/>
      <c r="C275" s="15"/>
      <c r="D275" s="16" t="s">
        <v>246</v>
      </c>
      <c r="E275" s="91"/>
      <c r="F275" s="91"/>
      <c r="G275" s="26"/>
      <c r="H275" s="26"/>
      <c r="I275" s="26"/>
      <c r="J275" s="26"/>
      <c r="K275" s="26"/>
      <c r="L275" s="26"/>
      <c r="O275" s="87"/>
      <c r="P275" s="87"/>
      <c r="Q275" s="87"/>
      <c r="R275" s="87"/>
      <c r="S275" s="87"/>
      <c r="T275" s="87"/>
      <c r="U275" s="87"/>
    </row>
    <row r="276" spans="2:21" ht="15">
      <c r="B276" s="100"/>
      <c r="C276" s="15"/>
      <c r="D276" s="57" t="s">
        <v>410</v>
      </c>
      <c r="E276" s="26"/>
      <c r="F276" s="26"/>
      <c r="G276" s="26"/>
      <c r="H276" s="26"/>
      <c r="I276" s="26"/>
      <c r="J276" s="26"/>
      <c r="K276" s="26"/>
      <c r="L276" s="26"/>
      <c r="O276" s="87"/>
      <c r="P276" s="87"/>
      <c r="Q276" s="87"/>
      <c r="R276" s="87"/>
      <c r="S276" s="87"/>
      <c r="T276" s="87"/>
      <c r="U276" s="87"/>
    </row>
    <row r="277" spans="2:21" ht="15">
      <c r="B277" s="97"/>
      <c r="C277" s="81"/>
      <c r="D277" s="57" t="s">
        <v>411</v>
      </c>
      <c r="E277" s="26"/>
      <c r="F277" s="26"/>
      <c r="G277" s="26"/>
      <c r="H277" s="26"/>
      <c r="I277" s="26"/>
      <c r="J277" s="26"/>
      <c r="K277" s="26"/>
      <c r="L277" s="26"/>
      <c r="O277" s="87"/>
      <c r="P277" s="87"/>
      <c r="Q277" s="87"/>
      <c r="R277" s="87"/>
      <c r="S277" s="87"/>
      <c r="T277" s="87"/>
      <c r="U277" s="87"/>
    </row>
    <row r="278" spans="2:21" ht="15">
      <c r="B278" s="97"/>
      <c r="C278" s="81"/>
      <c r="D278" s="57" t="s">
        <v>247</v>
      </c>
      <c r="E278" s="26"/>
      <c r="F278" s="26"/>
      <c r="G278" s="26"/>
      <c r="H278" s="26"/>
      <c r="I278" s="26"/>
      <c r="J278" s="26"/>
      <c r="K278" s="26"/>
      <c r="L278" s="26"/>
      <c r="O278" s="87"/>
      <c r="P278" s="87"/>
      <c r="Q278" s="87"/>
      <c r="R278" s="87"/>
      <c r="S278" s="87"/>
      <c r="T278" s="87"/>
      <c r="U278" s="87"/>
    </row>
    <row r="279" spans="2:21" ht="15">
      <c r="B279" s="97"/>
      <c r="C279" s="81"/>
      <c r="D279" s="57" t="s">
        <v>248</v>
      </c>
      <c r="E279" s="26"/>
      <c r="F279" s="26"/>
      <c r="G279" s="26"/>
      <c r="H279" s="26"/>
      <c r="I279" s="26"/>
      <c r="J279" s="26"/>
      <c r="K279" s="26"/>
      <c r="L279" s="26"/>
      <c r="O279" s="87"/>
      <c r="P279" s="87"/>
      <c r="Q279" s="87"/>
      <c r="R279" s="87"/>
      <c r="S279" s="87"/>
      <c r="T279" s="87"/>
      <c r="U279" s="87"/>
    </row>
    <row r="280" spans="2:21" ht="15">
      <c r="B280" s="97"/>
      <c r="C280" s="81"/>
      <c r="D280" s="57" t="s">
        <v>423</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744</v>
      </c>
      <c r="C282" s="81"/>
      <c r="D282" s="1144" t="s">
        <v>288</v>
      </c>
      <c r="E282" s="1145"/>
      <c r="F282" s="1145"/>
      <c r="G282" s="1145"/>
      <c r="H282" s="1145"/>
      <c r="I282" s="1145"/>
      <c r="J282" s="1145"/>
      <c r="K282" s="1145"/>
      <c r="L282" s="57"/>
      <c r="O282" s="87"/>
      <c r="P282" s="87"/>
      <c r="Q282" s="87"/>
      <c r="R282" s="87"/>
      <c r="S282" s="87"/>
      <c r="T282" s="87"/>
      <c r="U282" s="87"/>
    </row>
    <row r="283" spans="2:21" ht="15">
      <c r="B283" s="97"/>
      <c r="C283" s="81"/>
      <c r="D283" s="1145"/>
      <c r="E283" s="1145"/>
      <c r="F283" s="1145"/>
      <c r="G283" s="1145"/>
      <c r="H283" s="1145"/>
      <c r="I283" s="1145"/>
      <c r="J283" s="1145"/>
      <c r="K283" s="1145"/>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745</v>
      </c>
      <c r="C285" s="81"/>
      <c r="D285" s="7" t="str">
        <f>"Transmission Plant balances in this study reflect the average of the balances at December 31, "&amp;'KGPCo Historic TCOS'!O2-2&amp;" and December 31, "&amp;'KGPCo Historic TCOS'!O1&amp;"."</f>
        <v>Transmission Plant balances in this study reflect the average of the balances at December 31, 2010 and December 31, 2011.</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746</v>
      </c>
      <c r="C287" s="81"/>
      <c r="D287" s="57" t="s">
        <v>92</v>
      </c>
      <c r="E287" s="26"/>
      <c r="F287" s="26"/>
      <c r="G287" s="26"/>
      <c r="H287" s="26"/>
      <c r="I287" s="26"/>
      <c r="J287" s="26"/>
      <c r="K287" s="26"/>
      <c r="L287" s="26"/>
      <c r="O287" s="87"/>
      <c r="P287" s="57"/>
      <c r="Q287" s="57"/>
      <c r="R287" s="87"/>
      <c r="S287" s="87"/>
      <c r="T287" s="87"/>
      <c r="U287" s="87"/>
    </row>
    <row r="288" spans="2:21" ht="15">
      <c r="B288" s="97"/>
      <c r="C288" s="81"/>
      <c r="D288" s="57" t="s">
        <v>431</v>
      </c>
      <c r="E288" s="26"/>
      <c r="F288" s="26"/>
      <c r="G288" s="26"/>
      <c r="H288" s="26"/>
      <c r="I288" s="26"/>
      <c r="J288" s="26"/>
      <c r="K288" s="26"/>
      <c r="L288" s="26"/>
      <c r="O288" s="87"/>
      <c r="P288" s="57"/>
      <c r="Q288" s="57"/>
      <c r="R288" s="87"/>
      <c r="S288" s="87"/>
      <c r="T288" s="87"/>
      <c r="U288" s="87"/>
    </row>
    <row r="289" spans="2:21" ht="15">
      <c r="B289" s="97"/>
      <c r="C289" s="81"/>
      <c r="D289" s="57" t="s">
        <v>444</v>
      </c>
      <c r="E289" s="26"/>
      <c r="F289" s="26"/>
      <c r="G289" s="26"/>
      <c r="H289" s="26"/>
      <c r="I289" s="26"/>
      <c r="J289" s="26"/>
      <c r="K289" s="26"/>
      <c r="L289" s="71"/>
      <c r="O289" s="87"/>
      <c r="P289" s="57"/>
      <c r="Q289" s="57"/>
      <c r="R289" s="87"/>
      <c r="S289" s="87"/>
      <c r="T289" s="87"/>
      <c r="U289" s="87"/>
    </row>
    <row r="290" spans="2:21" ht="15">
      <c r="B290" s="97"/>
      <c r="C290" s="81"/>
      <c r="D290" s="57" t="s">
        <v>234</v>
      </c>
      <c r="E290" s="26"/>
      <c r="F290" s="26"/>
      <c r="G290" s="26"/>
      <c r="H290" s="26"/>
      <c r="I290" s="26"/>
      <c r="J290" s="26"/>
      <c r="K290" s="26"/>
      <c r="L290" s="71"/>
      <c r="O290" s="87"/>
      <c r="P290" s="57"/>
      <c r="Q290" s="87"/>
      <c r="R290" s="87"/>
      <c r="S290" s="87"/>
      <c r="T290" s="87"/>
      <c r="U290" s="87"/>
    </row>
    <row r="291" spans="2:21" ht="15">
      <c r="B291" s="97"/>
      <c r="C291" s="81"/>
      <c r="D291" s="57" t="s">
        <v>34</v>
      </c>
      <c r="E291" s="26"/>
      <c r="F291" s="26"/>
      <c r="G291" s="26"/>
      <c r="H291" s="26"/>
      <c r="I291" s="26"/>
      <c r="J291" s="26"/>
      <c r="K291" s="26"/>
      <c r="L291" s="71"/>
      <c r="O291" s="87"/>
      <c r="P291" s="57"/>
      <c r="Q291" s="87"/>
      <c r="R291" s="87"/>
      <c r="S291" s="87"/>
      <c r="T291" s="87"/>
      <c r="U291" s="87"/>
    </row>
    <row r="292" spans="2:21" ht="9" customHeight="1">
      <c r="B292" s="97"/>
      <c r="C292" s="81"/>
      <c r="D292" s="57"/>
      <c r="E292" s="26"/>
      <c r="F292" s="26"/>
      <c r="G292" s="26"/>
      <c r="H292" s="26"/>
      <c r="I292" s="26"/>
      <c r="J292" s="26"/>
      <c r="K292" s="26"/>
      <c r="L292" s="71"/>
      <c r="O292" s="87"/>
      <c r="P292" s="87"/>
      <c r="Q292" s="87"/>
      <c r="R292" s="87"/>
      <c r="S292" s="87"/>
      <c r="T292" s="87"/>
      <c r="U292" s="87"/>
    </row>
    <row r="293" spans="2:21" ht="15">
      <c r="B293" s="97" t="s">
        <v>747</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s="103"/>
      <c r="O293" s="87"/>
      <c r="P293" s="87"/>
      <c r="Q293" s="87"/>
      <c r="R293" s="87"/>
      <c r="S293" s="87"/>
      <c r="T293" s="87"/>
      <c r="U293" s="87"/>
    </row>
    <row r="294" spans="2:21" ht="15">
      <c r="B294" s="97"/>
      <c r="C294" s="81"/>
      <c r="D294" s="1059"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64"/>
      <c r="F294" s="764"/>
      <c r="G294" s="764"/>
      <c r="H294" s="764"/>
      <c r="I294" s="764"/>
      <c r="J294" s="764"/>
      <c r="K294" s="764"/>
      <c r="L294" s="764"/>
      <c r="O294" s="87"/>
      <c r="P294" s="87"/>
      <c r="Q294" s="87"/>
      <c r="R294" s="87"/>
      <c r="S294" s="87"/>
      <c r="T294" s="87"/>
      <c r="U294" s="87"/>
    </row>
    <row r="295" spans="2:21" ht="15">
      <c r="B295" s="97"/>
      <c r="C295" s="81"/>
      <c r="D295" s="1060" t="str">
        <f>+"2)  AEP transmission equalization transfers, as shown on line "&amp;B150&amp;""</f>
        <v>2)  AEP transmission equalization transfers, as shown on line 86</v>
      </c>
      <c r="E295" s="454"/>
      <c r="F295" s="454"/>
      <c r="G295" s="454"/>
      <c r="H295" s="454"/>
      <c r="I295" s="454"/>
      <c r="J295" s="454"/>
      <c r="K295" s="454"/>
      <c r="L295" s="454"/>
      <c r="O295" s="87"/>
      <c r="P295" s="87"/>
      <c r="Q295" s="87"/>
      <c r="R295" s="87"/>
      <c r="S295" s="87"/>
      <c r="T295" s="87"/>
      <c r="U295" s="87"/>
    </row>
    <row r="296" spans="2:21" ht="15">
      <c r="B296" s="97"/>
      <c r="C296" s="81"/>
      <c r="D296" s="1059" t="str">
        <f>+"3)  The impact of state regulatory deferrals and amortizations, as shown on line  "&amp;B151&amp;""</f>
        <v>3)  The impact of state regulatory deferrals and amortizations, as shown on line  87</v>
      </c>
      <c r="E296" s="752"/>
      <c r="F296" s="752"/>
      <c r="G296" s="752"/>
      <c r="H296" s="752"/>
      <c r="I296" s="752"/>
      <c r="J296" s="752"/>
      <c r="K296" s="752"/>
      <c r="L296" s="752"/>
      <c r="O296" s="87"/>
      <c r="P296" s="87"/>
      <c r="Q296" s="87"/>
      <c r="R296" s="87"/>
      <c r="S296" s="87"/>
      <c r="T296" s="87"/>
      <c r="U296" s="87"/>
    </row>
    <row r="297" spans="2:21" ht="15">
      <c r="B297" s="97"/>
      <c r="C297" s="81"/>
      <c r="D297" s="1060" t="str">
        <f>"4) All A&amp;G Expenses, as shown on line "&amp;B168&amp;"."</f>
        <v>4) All A&amp;G Expenses, as shown on line 103.</v>
      </c>
      <c r="E297" s="454"/>
      <c r="F297" s="454"/>
      <c r="G297" s="454"/>
      <c r="H297" s="454"/>
      <c r="I297" s="454"/>
      <c r="J297" s="454"/>
      <c r="K297" s="454"/>
      <c r="L297" s="454"/>
      <c r="O297" s="87"/>
      <c r="P297" s="87"/>
      <c r="Q297" s="87"/>
      <c r="R297" s="87"/>
      <c r="S297" s="87"/>
      <c r="T297" s="87"/>
      <c r="U297" s="87"/>
    </row>
    <row r="298" spans="2:21" ht="15">
      <c r="B298" s="97"/>
      <c r="C298" s="81"/>
      <c r="D298" s="1059"/>
      <c r="E298" s="1068"/>
      <c r="F298" s="1068"/>
      <c r="G298" s="1068"/>
      <c r="H298" s="1068"/>
      <c r="I298" s="1068"/>
      <c r="J298" s="1068"/>
      <c r="K298" s="1068"/>
      <c r="L298" s="1068"/>
      <c r="O298" s="87"/>
      <c r="P298" s="87"/>
      <c r="Q298" s="87"/>
      <c r="R298" s="87"/>
      <c r="S298" s="87"/>
      <c r="T298" s="87"/>
      <c r="U298" s="87"/>
    </row>
    <row r="299" spans="2:21" ht="15">
      <c r="B299" s="99" t="s">
        <v>748</v>
      </c>
      <c r="C299" s="86"/>
      <c r="D299" s="1064"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64"/>
      <c r="F299" s="1064"/>
      <c r="G299" s="1064"/>
      <c r="H299" s="1064"/>
      <c r="I299" s="1064"/>
      <c r="J299" s="1064"/>
      <c r="K299" s="1064"/>
      <c r="L299" s="1064"/>
      <c r="O299" s="87"/>
      <c r="P299" s="87"/>
      <c r="Q299" s="87"/>
      <c r="R299" s="87"/>
      <c r="S299" s="87"/>
      <c r="T299" s="87"/>
      <c r="U299" s="87"/>
    </row>
    <row r="300" spans="2:21" ht="15">
      <c r="B300" s="100"/>
      <c r="C300" s="15"/>
      <c r="D300" s="1064" t="s">
        <v>26</v>
      </c>
      <c r="E300" s="1064"/>
      <c r="F300" s="1064"/>
      <c r="G300" s="1064"/>
      <c r="H300" s="1064"/>
      <c r="I300" s="1064"/>
      <c r="J300" s="1064"/>
      <c r="K300" s="1064"/>
      <c r="L300" s="1064"/>
      <c r="O300" s="87"/>
      <c r="P300" s="87"/>
      <c r="Q300" s="87"/>
      <c r="R300" s="87"/>
      <c r="S300" s="87"/>
      <c r="T300" s="87"/>
      <c r="U300" s="87"/>
    </row>
    <row r="301" spans="2:21" ht="15">
      <c r="B301" s="100"/>
      <c r="C301" s="15"/>
      <c r="D301" s="1064" t="str">
        <f>"expense is included on line "&amp;B207&amp;"."</f>
        <v>expense is included on line 135.</v>
      </c>
      <c r="E301" s="1064"/>
      <c r="F301" s="1064"/>
      <c r="G301" s="1064"/>
      <c r="H301" s="1064"/>
      <c r="I301" s="1064"/>
      <c r="J301" s="1064"/>
      <c r="K301" s="1064"/>
      <c r="L301" s="1064"/>
      <c r="O301" s="87"/>
      <c r="P301" s="87"/>
      <c r="Q301" s="87"/>
      <c r="R301" s="87"/>
      <c r="S301" s="87"/>
      <c r="T301" s="87"/>
      <c r="U301" s="87"/>
    </row>
    <row r="302" spans="2:21" ht="15">
      <c r="B302" s="100"/>
      <c r="C302" s="15"/>
      <c r="D302" s="1064"/>
      <c r="E302" s="1064"/>
      <c r="F302" s="1064"/>
      <c r="G302" s="1064"/>
      <c r="H302" s="1064"/>
      <c r="I302" s="1064"/>
      <c r="J302" s="1064"/>
      <c r="K302" s="1064"/>
      <c r="L302" s="1064"/>
      <c r="O302" s="87"/>
      <c r="P302" s="87"/>
      <c r="Q302" s="87"/>
      <c r="R302" s="87"/>
      <c r="S302" s="87"/>
      <c r="T302" s="87"/>
      <c r="U302" s="87"/>
    </row>
    <row r="303" spans="2:21" ht="15">
      <c r="B303" s="99" t="s">
        <v>749</v>
      </c>
      <c r="C303" s="15"/>
      <c r="D303" s="117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"&amp;'KGPCo WS F Misc Exp'!A22&amp;" through "&amp;'KGPCo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71"/>
      <c r="F303" s="1171"/>
      <c r="G303" s="1171"/>
      <c r="H303" s="1171"/>
      <c r="I303" s="1171"/>
      <c r="J303" s="1171"/>
      <c r="K303" s="1171"/>
      <c r="L303" s="1064"/>
      <c r="O303" s="87"/>
      <c r="P303" s="87"/>
      <c r="Q303" s="87"/>
      <c r="R303" s="87"/>
      <c r="S303" s="87"/>
      <c r="T303" s="87"/>
      <c r="U303" s="87"/>
    </row>
    <row r="304" spans="2:21" ht="15">
      <c r="B304" s="99"/>
      <c r="C304" s="15"/>
      <c r="D304" s="1171"/>
      <c r="E304" s="1171"/>
      <c r="F304" s="1171"/>
      <c r="G304" s="1171"/>
      <c r="H304" s="1171"/>
      <c r="I304" s="1171"/>
      <c r="J304" s="1171"/>
      <c r="K304" s="1171"/>
      <c r="L304" s="1064"/>
      <c r="O304" s="87"/>
      <c r="P304" s="87"/>
      <c r="Q304" s="87"/>
      <c r="R304" s="87"/>
      <c r="S304" s="87"/>
      <c r="T304" s="87"/>
      <c r="U304" s="87"/>
    </row>
    <row r="305" spans="2:21" ht="15">
      <c r="B305" s="99"/>
      <c r="C305" s="15"/>
      <c r="D305" s="1171"/>
      <c r="E305" s="1171"/>
      <c r="F305" s="1171"/>
      <c r="G305" s="1171"/>
      <c r="H305" s="1171"/>
      <c r="I305" s="1171"/>
      <c r="J305" s="1171"/>
      <c r="K305" s="1171"/>
      <c r="L305" s="1064"/>
      <c r="O305" s="87"/>
      <c r="P305" s="87"/>
      <c r="Q305" s="87"/>
      <c r="R305" s="87"/>
      <c r="S305" s="87"/>
      <c r="T305" s="87"/>
      <c r="U305" s="87"/>
    </row>
    <row r="306" spans="2:21" ht="15">
      <c r="B306" s="99"/>
      <c r="C306" s="15"/>
      <c r="D306" s="1059"/>
      <c r="E306" s="1064"/>
      <c r="F306" s="1064"/>
      <c r="G306" s="1064"/>
      <c r="H306" s="1064"/>
      <c r="I306" s="1064"/>
      <c r="J306" s="1064"/>
      <c r="K306" s="1064"/>
      <c r="L306" s="1064"/>
      <c r="O306" s="87"/>
      <c r="P306" s="87"/>
      <c r="Q306" s="87"/>
      <c r="R306" s="87"/>
      <c r="S306" s="87"/>
      <c r="T306" s="87"/>
      <c r="U306" s="87"/>
    </row>
    <row r="307" spans="2:21" ht="15">
      <c r="B307" s="99" t="s">
        <v>750</v>
      </c>
      <c r="C307" s="15"/>
      <c r="D307" s="1159"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59"/>
      <c r="F307" s="1159"/>
      <c r="G307" s="1159"/>
      <c r="H307" s="1159"/>
      <c r="I307" s="1159"/>
      <c r="J307" s="1159"/>
      <c r="K307" s="1159"/>
      <c r="L307" s="1064"/>
      <c r="O307" s="87"/>
      <c r="P307" s="87"/>
      <c r="Q307" s="87"/>
      <c r="R307" s="87"/>
      <c r="S307" s="87"/>
      <c r="T307" s="87"/>
      <c r="U307" s="87"/>
    </row>
    <row r="308" spans="2:21" ht="15">
      <c r="B308" s="99"/>
      <c r="C308" s="15"/>
      <c r="D308" s="1159"/>
      <c r="E308" s="1159"/>
      <c r="F308" s="1159"/>
      <c r="G308" s="1159"/>
      <c r="H308" s="1159"/>
      <c r="I308" s="1159"/>
      <c r="J308" s="1159"/>
      <c r="K308" s="1159"/>
      <c r="L308" s="1064"/>
      <c r="O308" s="87"/>
      <c r="P308" s="87"/>
      <c r="Q308" s="87"/>
      <c r="R308" s="87"/>
      <c r="S308" s="87"/>
      <c r="T308" s="87"/>
      <c r="U308" s="87"/>
    </row>
    <row r="309" spans="2:21" ht="15">
      <c r="B309" s="99"/>
      <c r="C309" s="15"/>
      <c r="D309" s="1160"/>
      <c r="E309" s="1160"/>
      <c r="F309" s="1160"/>
      <c r="G309" s="1160"/>
      <c r="H309" s="1160"/>
      <c r="I309" s="1160"/>
      <c r="J309" s="1160"/>
      <c r="K309" s="1160"/>
      <c r="L309" s="1064"/>
      <c r="O309" s="87"/>
      <c r="P309" s="87"/>
      <c r="Q309" s="87"/>
      <c r="R309" s="87"/>
      <c r="S309" s="87"/>
      <c r="T309" s="87"/>
      <c r="U309" s="87"/>
    </row>
    <row r="310" spans="2:21" ht="15">
      <c r="B310" s="99"/>
      <c r="C310" s="15"/>
      <c r="D310" s="1162"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62"/>
      <c r="F310" s="1162"/>
      <c r="G310" s="1162"/>
      <c r="H310" s="1162"/>
      <c r="I310" s="1162"/>
      <c r="J310" s="1162"/>
      <c r="K310" s="1056"/>
      <c r="L310" s="1064"/>
      <c r="O310" s="87"/>
      <c r="P310" s="87"/>
      <c r="Q310" s="87"/>
      <c r="R310" s="87"/>
      <c r="S310" s="87"/>
      <c r="T310" s="87"/>
      <c r="U310" s="87"/>
    </row>
    <row r="311" spans="2:21" ht="15">
      <c r="B311" s="99"/>
      <c r="C311" s="15"/>
      <c r="D311" s="1162"/>
      <c r="E311" s="1162"/>
      <c r="F311" s="1162"/>
      <c r="G311" s="1162"/>
      <c r="H311" s="1162"/>
      <c r="I311" s="1162"/>
      <c r="J311" s="1162"/>
      <c r="K311" s="1056"/>
      <c r="L311" s="1064"/>
      <c r="O311" s="87"/>
      <c r="P311" s="87"/>
      <c r="Q311" s="87"/>
      <c r="R311" s="87"/>
      <c r="S311" s="87"/>
      <c r="T311" s="87"/>
      <c r="U311" s="87"/>
    </row>
    <row r="312" spans="2:21" ht="15">
      <c r="B312" s="99"/>
      <c r="C312" s="15"/>
      <c r="D312" s="1064" t="str">
        <f>"The company records referenced on lines "&amp;B171&amp;" and "&amp;B172&amp;" is the "&amp;F7&amp;" general ledger."</f>
        <v>The company records referenced on lines 105 and 106 is the KINGSPORT POWER COMPANY general ledger.</v>
      </c>
      <c r="E312" s="1057"/>
      <c r="F312" s="1057"/>
      <c r="G312" s="1057"/>
      <c r="H312" s="1057"/>
      <c r="I312" s="1057"/>
      <c r="J312" s="1057"/>
      <c r="K312" s="1057"/>
      <c r="L312" s="1064"/>
      <c r="O312" s="87"/>
      <c r="P312" s="87"/>
      <c r="Q312" s="87"/>
      <c r="R312" s="87"/>
      <c r="S312" s="87"/>
      <c r="T312" s="87"/>
      <c r="U312" s="87"/>
    </row>
    <row r="313" spans="2:21" ht="15">
      <c r="B313" s="99"/>
      <c r="C313" s="15"/>
      <c r="D313" s="1064"/>
      <c r="E313" s="1057"/>
      <c r="F313" s="1057"/>
      <c r="G313" s="1057"/>
      <c r="H313" s="1057"/>
      <c r="I313" s="1057"/>
      <c r="J313" s="1057"/>
      <c r="K313" s="1057"/>
      <c r="L313" s="1064"/>
      <c r="O313" s="87"/>
      <c r="P313" s="87"/>
      <c r="Q313" s="87"/>
      <c r="R313" s="87"/>
      <c r="S313" s="87"/>
      <c r="T313" s="87"/>
      <c r="U313" s="87"/>
    </row>
    <row r="314" spans="2:21" ht="15">
      <c r="B314" s="99" t="s">
        <v>751</v>
      </c>
      <c r="C314" s="15"/>
      <c r="D314" s="1064" t="s">
        <v>228</v>
      </c>
      <c r="E314" s="1064"/>
      <c r="F314" s="1064"/>
      <c r="G314" s="1064"/>
      <c r="H314" s="1064"/>
      <c r="I314" s="1064"/>
      <c r="J314" s="1064"/>
      <c r="K314" s="1064"/>
      <c r="L314" s="1064"/>
      <c r="O314" s="87"/>
      <c r="P314" s="87"/>
      <c r="Q314" s="87"/>
      <c r="R314" s="87"/>
      <c r="S314" s="87"/>
      <c r="T314" s="87"/>
      <c r="U314" s="87"/>
    </row>
    <row r="315" spans="2:21" ht="15">
      <c r="B315" s="99"/>
      <c r="C315" s="15"/>
      <c r="D315" s="1064"/>
      <c r="E315" s="1064"/>
      <c r="F315" s="1064"/>
      <c r="G315" s="1064"/>
      <c r="H315" s="1064"/>
      <c r="I315" s="1064"/>
      <c r="J315" s="1064"/>
      <c r="K315" s="1064"/>
      <c r="L315" s="1064"/>
      <c r="O315" s="87"/>
      <c r="P315" s="87"/>
      <c r="Q315" s="87"/>
      <c r="R315" s="87"/>
      <c r="S315" s="87"/>
      <c r="T315" s="87"/>
      <c r="U315" s="87"/>
    </row>
    <row r="316" spans="2:21" ht="15">
      <c r="B316" s="99" t="s">
        <v>752</v>
      </c>
      <c r="C316" s="15"/>
      <c r="D316" s="1162" t="s">
        <v>793</v>
      </c>
      <c r="E316" s="1163"/>
      <c r="F316" s="1163"/>
      <c r="G316" s="1163"/>
      <c r="H316" s="1163"/>
      <c r="I316" s="1163"/>
      <c r="J316" s="1163"/>
      <c r="K316" s="1061"/>
      <c r="L316" s="1061"/>
      <c r="O316" s="87"/>
      <c r="P316" s="87"/>
      <c r="Q316" s="87"/>
      <c r="R316" s="87"/>
      <c r="S316" s="87"/>
      <c r="T316" s="87"/>
      <c r="U316" s="87"/>
    </row>
    <row r="317" spans="2:21" ht="15">
      <c r="B317" s="99"/>
      <c r="C317" s="15"/>
      <c r="D317" s="1145"/>
      <c r="E317" s="1145"/>
      <c r="F317" s="1145"/>
      <c r="G317" s="1145"/>
      <c r="H317" s="1145"/>
      <c r="I317" s="1145"/>
      <c r="J317" s="1145"/>
      <c r="K317" s="1064"/>
      <c r="L317" s="1064"/>
      <c r="O317" s="87"/>
      <c r="P317" s="87"/>
      <c r="Q317" s="87"/>
      <c r="R317" s="87"/>
      <c r="S317" s="87"/>
      <c r="T317" s="87"/>
      <c r="U317" s="87"/>
    </row>
    <row r="318" spans="2:21" ht="15">
      <c r="B318" s="99"/>
      <c r="C318" s="15"/>
      <c r="D318" s="1163"/>
      <c r="E318" s="1163"/>
      <c r="F318" s="1163"/>
      <c r="G318" s="1163"/>
      <c r="H318" s="1163"/>
      <c r="I318" s="1163"/>
      <c r="J318" s="1163"/>
      <c r="K318" s="1061"/>
      <c r="L318" s="1061"/>
      <c r="O318" s="87"/>
      <c r="P318" s="87"/>
      <c r="Q318" s="87"/>
      <c r="R318" s="87"/>
      <c r="S318" s="87"/>
      <c r="T318" s="87"/>
      <c r="U318" s="87"/>
    </row>
    <row r="319" spans="2:21" ht="15">
      <c r="B319" s="99"/>
      <c r="C319" s="15"/>
      <c r="D319" s="1061"/>
      <c r="E319" s="1061"/>
      <c r="F319" s="1061"/>
      <c r="G319" s="1061"/>
      <c r="H319" s="1061"/>
      <c r="I319" s="1061"/>
      <c r="J319" s="1061"/>
      <c r="K319" s="1061"/>
      <c r="L319" s="1061"/>
      <c r="O319" s="87"/>
      <c r="P319" s="87"/>
      <c r="Q319" s="87"/>
      <c r="R319" s="87"/>
      <c r="S319" s="87"/>
      <c r="T319" s="87"/>
      <c r="U319" s="87"/>
    </row>
    <row r="320" spans="2:21" ht="15">
      <c r="B320" s="97" t="s">
        <v>753</v>
      </c>
      <c r="C320" s="15"/>
      <c r="D320" s="1164"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45"/>
      <c r="F320" s="1145"/>
      <c r="G320" s="1145"/>
      <c r="H320" s="1145"/>
      <c r="I320" s="1145"/>
      <c r="J320" s="1145"/>
      <c r="K320" s="1145"/>
      <c r="L320" s="1064"/>
      <c r="O320" s="87"/>
      <c r="P320" s="87"/>
      <c r="Q320" s="87"/>
      <c r="R320" s="87"/>
      <c r="S320" s="87"/>
      <c r="T320" s="87"/>
      <c r="U320" s="87"/>
    </row>
    <row r="321" spans="2:21" ht="15">
      <c r="B321" s="97"/>
      <c r="C321" s="15"/>
      <c r="D321" s="1163"/>
      <c r="E321" s="1163"/>
      <c r="F321" s="1163"/>
      <c r="G321" s="1163"/>
      <c r="H321" s="1163"/>
      <c r="I321" s="1163"/>
      <c r="J321" s="1163"/>
      <c r="K321" s="1163"/>
      <c r="L321" s="1061"/>
      <c r="O321" s="87"/>
      <c r="P321" s="87"/>
      <c r="Q321" s="87"/>
      <c r="R321" s="87"/>
      <c r="S321" s="87"/>
      <c r="T321" s="87"/>
      <c r="U321" s="87"/>
    </row>
    <row r="322" spans="2:21" ht="15">
      <c r="B322" s="99"/>
      <c r="C322" s="15"/>
      <c r="D322" s="1061"/>
      <c r="E322" s="1061"/>
      <c r="F322" s="1061"/>
      <c r="G322" s="1061"/>
      <c r="H322" s="1061"/>
      <c r="I322" s="1061"/>
      <c r="J322" s="1061"/>
      <c r="K322" s="1061"/>
      <c r="L322" s="1061"/>
      <c r="O322" s="87"/>
      <c r="P322" s="87"/>
      <c r="Q322" s="87"/>
      <c r="R322" s="87"/>
      <c r="S322" s="87"/>
      <c r="T322" s="87"/>
      <c r="U322" s="87"/>
    </row>
    <row r="323" spans="2:21" ht="15">
      <c r="B323" s="97" t="s">
        <v>754</v>
      </c>
      <c r="C323" s="81"/>
      <c r="D323" s="1060" t="s">
        <v>225</v>
      </c>
      <c r="E323" s="1067"/>
      <c r="F323" s="1067"/>
      <c r="G323" s="1067"/>
      <c r="H323" s="1067"/>
      <c r="I323" s="1067"/>
      <c r="J323" s="1067"/>
      <c r="K323" s="1067"/>
      <c r="L323" s="1067"/>
      <c r="O323" s="87"/>
      <c r="P323" s="87"/>
      <c r="Q323" s="87"/>
      <c r="R323" s="87"/>
      <c r="S323" s="87"/>
      <c r="T323" s="87"/>
      <c r="U323" s="87"/>
    </row>
    <row r="324" spans="2:21" ht="15">
      <c r="B324" s="97"/>
      <c r="C324" s="81"/>
      <c r="D324" s="1060" t="s">
        <v>414</v>
      </c>
      <c r="E324" s="1067"/>
      <c r="F324" s="1067"/>
      <c r="G324" s="1067"/>
      <c r="H324" s="1067"/>
      <c r="I324" s="1067"/>
      <c r="J324" s="1067"/>
      <c r="K324" s="1067"/>
      <c r="L324" s="1067"/>
      <c r="O324" s="87"/>
      <c r="P324" s="87"/>
      <c r="Q324" s="87"/>
      <c r="R324" s="87"/>
      <c r="S324" s="87"/>
      <c r="T324" s="87"/>
      <c r="U324" s="87"/>
    </row>
    <row r="325" spans="2:21" ht="15">
      <c r="B325" s="97"/>
      <c r="C325" s="81"/>
      <c r="D325" s="1060" t="s">
        <v>415</v>
      </c>
      <c r="E325" s="1067"/>
      <c r="F325" s="1067"/>
      <c r="G325" s="1067"/>
      <c r="H325" s="1067"/>
      <c r="I325" s="1067"/>
      <c r="J325" s="1067"/>
      <c r="K325" s="1067"/>
      <c r="L325" s="1067"/>
      <c r="O325" s="87"/>
      <c r="P325" s="87"/>
      <c r="Q325" s="87"/>
      <c r="R325" s="87"/>
      <c r="S325" s="87"/>
      <c r="T325" s="87"/>
      <c r="U325" s="87"/>
    </row>
    <row r="326" spans="2:21" ht="15">
      <c r="B326" s="97"/>
      <c r="C326" s="81"/>
      <c r="D326" s="1061" t="s">
        <v>420</v>
      </c>
      <c r="E326" s="1067"/>
      <c r="F326" s="1067"/>
      <c r="G326" s="1067"/>
      <c r="H326" s="1067"/>
      <c r="I326" s="1067"/>
      <c r="J326" s="1067"/>
      <c r="K326" s="1067"/>
      <c r="L326" s="1067"/>
      <c r="O326" s="87"/>
      <c r="P326" s="87"/>
      <c r="Q326" s="87"/>
      <c r="R326" s="87"/>
      <c r="S326" s="87"/>
      <c r="T326" s="87"/>
      <c r="U326" s="87"/>
    </row>
    <row r="327" spans="2:21" ht="15">
      <c r="B327" s="97"/>
      <c r="C327" s="81"/>
      <c r="D327" s="1061"/>
      <c r="E327" s="1067"/>
      <c r="F327" s="1067"/>
      <c r="G327" s="1067"/>
      <c r="H327" s="1067"/>
      <c r="I327" s="1067"/>
      <c r="J327" s="1067"/>
      <c r="K327" s="1067"/>
      <c r="L327" s="1067"/>
      <c r="O327" s="87"/>
      <c r="P327" s="87"/>
      <c r="Q327" s="87"/>
      <c r="R327" s="87"/>
      <c r="S327" s="87"/>
      <c r="T327" s="87"/>
      <c r="U327" s="87"/>
    </row>
    <row r="328" spans="2:21" ht="15" customHeight="1">
      <c r="B328" s="97" t="s">
        <v>755</v>
      </c>
      <c r="C328" s="81"/>
      <c r="D328" s="1153" t="s">
        <v>882</v>
      </c>
      <c r="E328" s="1154"/>
      <c r="F328" s="1154"/>
      <c r="G328" s="1154"/>
      <c r="H328" s="1154"/>
      <c r="I328" s="1154"/>
      <c r="J328" s="1154"/>
      <c r="K328" s="1154"/>
      <c r="L328" s="1155"/>
      <c r="O328" s="87"/>
      <c r="P328" s="87"/>
      <c r="Q328" s="87"/>
      <c r="R328" s="87"/>
      <c r="S328" s="87"/>
      <c r="T328" s="87"/>
      <c r="U328" s="87"/>
    </row>
    <row r="329" spans="2:21" ht="15">
      <c r="B329" s="97"/>
      <c r="C329" s="81"/>
      <c r="D329" s="1154"/>
      <c r="E329" s="1154"/>
      <c r="F329" s="1154"/>
      <c r="G329" s="1154"/>
      <c r="H329" s="1154"/>
      <c r="I329" s="1154"/>
      <c r="J329" s="1154"/>
      <c r="K329" s="1154"/>
      <c r="L329" s="1155"/>
      <c r="O329" s="87"/>
      <c r="P329" s="87"/>
      <c r="Q329" s="87"/>
      <c r="R329" s="87"/>
      <c r="S329" s="87"/>
      <c r="T329" s="87"/>
      <c r="U329" s="87"/>
    </row>
    <row r="330" spans="2:21" ht="15">
      <c r="B330" s="97"/>
      <c r="C330" s="81"/>
      <c r="D330" s="1155"/>
      <c r="E330" s="1155"/>
      <c r="F330" s="1155"/>
      <c r="G330" s="1155"/>
      <c r="H330" s="1155"/>
      <c r="I330" s="1155"/>
      <c r="J330" s="1155"/>
      <c r="K330" s="1155"/>
      <c r="L330" s="1155"/>
      <c r="O330" s="87"/>
      <c r="P330" s="87"/>
      <c r="Q330" s="87"/>
      <c r="R330" s="87"/>
      <c r="S330" s="87"/>
      <c r="T330" s="87"/>
      <c r="U330" s="87"/>
    </row>
    <row r="331" spans="2:21" ht="15">
      <c r="B331" s="97"/>
      <c r="C331" s="81"/>
      <c r="D331" s="1064"/>
      <c r="E331" s="1068"/>
      <c r="F331" s="1068"/>
      <c r="G331" s="1068"/>
      <c r="H331" s="1068"/>
      <c r="I331" s="1068"/>
      <c r="J331" s="1068"/>
      <c r="K331" s="1068"/>
      <c r="L331" s="1068"/>
      <c r="O331" s="87"/>
      <c r="P331" s="87"/>
      <c r="Q331" s="87"/>
      <c r="R331" s="87"/>
      <c r="S331" s="87"/>
      <c r="T331" s="87"/>
      <c r="U331" s="87"/>
    </row>
    <row r="332" spans="2:21" ht="15">
      <c r="B332" s="144" t="s">
        <v>93</v>
      </c>
      <c r="C332" s="81"/>
      <c r="D332" s="1059" t="s">
        <v>226</v>
      </c>
      <c r="E332" s="1064"/>
      <c r="F332" s="1064"/>
      <c r="G332" s="1064"/>
      <c r="H332" s="1064"/>
      <c r="I332" s="1064"/>
      <c r="J332" s="1064"/>
      <c r="K332" s="1064"/>
      <c r="L332" s="1064"/>
      <c r="O332" s="87"/>
      <c r="P332" s="87"/>
      <c r="Q332" s="87"/>
      <c r="R332" s="87"/>
      <c r="S332" s="87"/>
      <c r="T332" s="87"/>
      <c r="U332" s="87"/>
    </row>
    <row r="333" spans="2:21" ht="15">
      <c r="B333" s="144"/>
      <c r="C333" s="81"/>
      <c r="D333" s="1059"/>
      <c r="E333" s="1064"/>
      <c r="F333" s="1064"/>
      <c r="G333" s="1064"/>
      <c r="H333" s="1064"/>
      <c r="I333" s="1064"/>
      <c r="J333" s="1064"/>
      <c r="K333" s="1064"/>
      <c r="L333" s="1064"/>
      <c r="O333" s="87"/>
      <c r="P333" s="87"/>
      <c r="Q333" s="87"/>
      <c r="R333" s="87"/>
      <c r="S333" s="87"/>
      <c r="T333" s="87"/>
      <c r="U333" s="87"/>
    </row>
    <row r="334" spans="2:21" ht="15">
      <c r="B334" s="97" t="s">
        <v>159</v>
      </c>
      <c r="C334" s="81"/>
      <c r="D334" s="1059" t="s">
        <v>200</v>
      </c>
      <c r="E334" s="1063"/>
      <c r="F334" s="1063"/>
      <c r="G334" s="1063"/>
      <c r="H334" s="1064"/>
      <c r="I334" s="1064"/>
      <c r="J334" s="1064"/>
      <c r="K334" s="1064"/>
      <c r="L334" s="1064"/>
      <c r="O334" s="87"/>
      <c r="P334" s="87"/>
      <c r="Q334" s="87"/>
      <c r="R334" s="87"/>
      <c r="S334" s="87"/>
      <c r="T334" s="87"/>
      <c r="U334" s="87"/>
    </row>
    <row r="335" spans="2:21" ht="15">
      <c r="B335" s="97"/>
      <c r="C335" s="81"/>
      <c r="D335" s="1059" t="s">
        <v>79</v>
      </c>
      <c r="E335" s="1063"/>
      <c r="F335" s="1063"/>
      <c r="G335" s="1063"/>
      <c r="H335" s="1064"/>
      <c r="I335" s="1064"/>
      <c r="J335" s="1064"/>
      <c r="K335" s="1064"/>
      <c r="L335" s="1064"/>
      <c r="O335" s="87"/>
      <c r="P335" s="87"/>
      <c r="Q335" s="87"/>
      <c r="R335" s="87"/>
      <c r="S335" s="87"/>
      <c r="T335" s="87"/>
      <c r="U335" s="87"/>
    </row>
    <row r="336" spans="2:21" ht="15">
      <c r="B336" s="97"/>
      <c r="C336" s="81"/>
      <c r="D336" s="1059" t="s">
        <v>62</v>
      </c>
      <c r="E336" s="1063"/>
      <c r="F336" s="1063"/>
      <c r="G336" s="1063"/>
      <c r="H336" s="1064"/>
      <c r="I336" s="1064"/>
      <c r="J336" s="1064"/>
      <c r="K336" s="1064"/>
      <c r="L336" s="1064"/>
      <c r="O336" s="87"/>
      <c r="P336" s="87"/>
      <c r="Q336" s="87"/>
      <c r="R336" s="87"/>
      <c r="S336" s="87"/>
      <c r="T336" s="87"/>
      <c r="U336" s="87"/>
    </row>
    <row r="337" spans="2:21" ht="15">
      <c r="B337" s="97"/>
      <c r="C337" s="81"/>
      <c r="D337" s="1059" t="s">
        <v>63</v>
      </c>
      <c r="E337" s="1069"/>
      <c r="F337" s="1069"/>
      <c r="G337" s="1069"/>
      <c r="H337" s="1064"/>
      <c r="I337" s="1064"/>
      <c r="J337" s="1064"/>
      <c r="K337" s="1064"/>
      <c r="L337" s="1064"/>
      <c r="O337" s="87"/>
      <c r="P337" s="87"/>
      <c r="Q337" s="87"/>
      <c r="R337" s="87"/>
      <c r="S337" s="87"/>
      <c r="T337" s="87"/>
      <c r="U337" s="87"/>
    </row>
    <row r="338" spans="2:21" ht="15">
      <c r="B338" s="97"/>
      <c r="C338" s="81"/>
      <c r="D338" s="1059" t="str">
        <f>"(ln "&amp;B199&amp;") multiplied by (1/1-T) .  If the applicable tax rates are zero enter 0."</f>
        <v>(ln 130) multiplied by (1/1-T) .  If the applicable tax rates are zero enter 0.</v>
      </c>
      <c r="E338" s="1069"/>
      <c r="F338" s="1069"/>
      <c r="G338" s="1069"/>
      <c r="H338" s="1064"/>
      <c r="I338" s="1064"/>
      <c r="J338" s="1064"/>
      <c r="K338" s="1064"/>
      <c r="L338" s="1064"/>
      <c r="O338" s="87"/>
      <c r="P338" s="87"/>
      <c r="Q338" s="87"/>
      <c r="R338" s="87"/>
      <c r="S338" s="87"/>
      <c r="T338" s="87"/>
      <c r="U338" s="87"/>
    </row>
    <row r="339" spans="2:21" ht="15">
      <c r="B339" s="5"/>
      <c r="C339" s="87"/>
      <c r="D339" s="1059" t="s">
        <v>201</v>
      </c>
      <c r="E339" s="1068" t="s">
        <v>202</v>
      </c>
      <c r="F339" s="1070">
        <f>'KGPCo Historic TCOS'!F337</f>
        <v>0.35</v>
      </c>
      <c r="G339" s="1068"/>
      <c r="H339" s="1064"/>
      <c r="I339" s="1064"/>
      <c r="J339" s="1064"/>
      <c r="K339" s="1064"/>
      <c r="L339" s="1064"/>
      <c r="O339" s="87"/>
      <c r="P339" s="87"/>
      <c r="Q339" s="87"/>
      <c r="R339" s="87"/>
      <c r="S339" s="87"/>
      <c r="T339" s="87"/>
      <c r="U339" s="87"/>
    </row>
    <row r="340" spans="2:21" ht="15">
      <c r="B340" s="5"/>
      <c r="C340" s="87"/>
      <c r="D340" s="1059"/>
      <c r="E340" s="1068" t="s">
        <v>203</v>
      </c>
      <c r="F340" s="1070">
        <f>+'KGPCo WS G  State Tax Rate'!F12</f>
        <v>0.0649</v>
      </c>
      <c r="G340" s="1068" t="s">
        <v>456</v>
      </c>
      <c r="H340" s="1064"/>
      <c r="I340" s="1064"/>
      <c r="J340" s="1064"/>
      <c r="K340" s="1064"/>
      <c r="L340" s="1064"/>
      <c r="O340" s="87"/>
      <c r="P340" s="87"/>
      <c r="Q340" s="87"/>
      <c r="R340" s="87"/>
      <c r="S340" s="87"/>
      <c r="T340" s="87"/>
      <c r="U340" s="87"/>
    </row>
    <row r="341" spans="2:21" ht="15">
      <c r="B341" s="5"/>
      <c r="C341" s="87"/>
      <c r="D341" s="1059"/>
      <c r="E341" s="1068" t="s">
        <v>204</v>
      </c>
      <c r="F341" s="1070">
        <f>+H215</f>
        <v>0</v>
      </c>
      <c r="G341" s="1068" t="s">
        <v>205</v>
      </c>
      <c r="H341" s="1064"/>
      <c r="I341" s="1064"/>
      <c r="J341" s="1064"/>
      <c r="K341" s="1064"/>
      <c r="L341" s="1064"/>
      <c r="O341" s="87"/>
      <c r="P341" s="87"/>
      <c r="Q341" s="87"/>
      <c r="R341" s="87"/>
      <c r="S341" s="87"/>
      <c r="T341" s="87"/>
      <c r="U341" s="87"/>
    </row>
    <row r="342" spans="2:21" ht="15">
      <c r="B342" s="144"/>
      <c r="C342" s="81"/>
      <c r="D342" s="1059"/>
      <c r="E342" s="1064"/>
      <c r="F342" s="1064"/>
      <c r="G342" s="1064"/>
      <c r="H342" s="1064"/>
      <c r="I342" s="1064"/>
      <c r="J342" s="1064"/>
      <c r="K342" s="1064"/>
      <c r="L342" s="1064"/>
      <c r="O342" s="87"/>
      <c r="P342" s="87"/>
      <c r="Q342" s="87"/>
      <c r="R342" s="87"/>
      <c r="S342" s="87"/>
      <c r="T342" s="87"/>
      <c r="U342" s="87"/>
    </row>
    <row r="343" spans="2:21" ht="15">
      <c r="B343" s="97" t="s">
        <v>206</v>
      </c>
      <c r="C343" s="81"/>
      <c r="D343" s="1059" t="s">
        <v>33</v>
      </c>
      <c r="E343" s="1064"/>
      <c r="F343" s="1064"/>
      <c r="G343" s="1064"/>
      <c r="H343" s="1064"/>
      <c r="I343" s="1064"/>
      <c r="J343" s="1064"/>
      <c r="K343" s="1064"/>
      <c r="L343" s="1064"/>
      <c r="O343" s="87"/>
      <c r="P343" s="87"/>
      <c r="Q343" s="87"/>
      <c r="R343" s="87"/>
      <c r="S343" s="87"/>
      <c r="T343" s="87"/>
      <c r="U343" s="87"/>
    </row>
    <row r="344" spans="2:21" ht="15">
      <c r="B344" s="16"/>
      <c r="D344" s="1059"/>
      <c r="E344" s="1064"/>
      <c r="F344" s="1064"/>
      <c r="G344" s="1064"/>
      <c r="H344" s="1064"/>
      <c r="I344" s="1064"/>
      <c r="J344" s="1064"/>
      <c r="K344" s="1064"/>
      <c r="L344" s="1064"/>
      <c r="O344" s="87"/>
      <c r="P344" s="87"/>
      <c r="Q344" s="87"/>
      <c r="R344" s="87"/>
      <c r="S344" s="87"/>
      <c r="T344" s="87"/>
      <c r="U344" s="87"/>
    </row>
    <row r="345" spans="2:21" ht="15">
      <c r="B345" s="97" t="s">
        <v>207</v>
      </c>
      <c r="C345" s="81"/>
      <c r="D345" s="1059" t="s">
        <v>641</v>
      </c>
      <c r="E345" s="1064"/>
      <c r="F345" s="1064"/>
      <c r="G345" s="1064"/>
      <c r="H345" s="1064"/>
      <c r="I345" s="1064"/>
      <c r="J345" s="1064"/>
      <c r="K345" s="1064"/>
      <c r="L345" s="1064"/>
      <c r="O345" s="87"/>
      <c r="P345" s="87"/>
      <c r="Q345" s="87"/>
      <c r="R345" s="87"/>
      <c r="S345" s="87"/>
      <c r="T345" s="87"/>
      <c r="U345" s="87"/>
    </row>
    <row r="346" spans="2:21" ht="15">
      <c r="B346" s="97"/>
      <c r="C346" s="81"/>
      <c r="D346" s="1059"/>
      <c r="E346" s="1068"/>
      <c r="F346" s="1068"/>
      <c r="G346" s="1068"/>
      <c r="H346" s="1068"/>
      <c r="I346" s="1068"/>
      <c r="J346" s="1068"/>
      <c r="K346" s="1068"/>
      <c r="L346" s="1068"/>
      <c r="O346" s="87"/>
      <c r="P346" s="87"/>
      <c r="Q346" s="87"/>
      <c r="R346" s="87"/>
      <c r="S346" s="87"/>
      <c r="T346" s="87"/>
      <c r="U346" s="87"/>
    </row>
    <row r="347" spans="2:21" ht="15">
      <c r="B347" s="97" t="s">
        <v>208</v>
      </c>
      <c r="C347" s="81"/>
      <c r="D347" s="1059" t="s">
        <v>287</v>
      </c>
      <c r="E347" s="1068"/>
      <c r="F347" s="1068"/>
      <c r="G347" s="1068"/>
      <c r="H347" s="1068"/>
      <c r="I347" s="1068"/>
      <c r="J347" s="1068"/>
      <c r="K347" s="1068"/>
      <c r="L347" s="1068"/>
      <c r="O347" s="87"/>
      <c r="P347" s="87"/>
      <c r="Q347" s="87"/>
      <c r="R347" s="87"/>
      <c r="S347" s="87"/>
      <c r="T347" s="87"/>
      <c r="U347" s="87"/>
    </row>
    <row r="348" spans="2:21" ht="15">
      <c r="B348" s="97"/>
      <c r="C348" s="81"/>
      <c r="D348" s="1059"/>
      <c r="E348" s="1068"/>
      <c r="F348" s="1068"/>
      <c r="G348" s="1068"/>
      <c r="H348" s="1068"/>
      <c r="I348" s="1068"/>
      <c r="J348" s="1068"/>
      <c r="K348" s="1068"/>
      <c r="L348" s="1068"/>
      <c r="O348" s="87"/>
      <c r="P348" s="87"/>
      <c r="Q348" s="87"/>
      <c r="R348" s="87"/>
      <c r="S348" s="87"/>
      <c r="T348" s="87"/>
      <c r="U348" s="87"/>
    </row>
    <row r="349" spans="2:21" ht="15">
      <c r="B349" s="99" t="s">
        <v>209</v>
      </c>
      <c r="C349" s="86"/>
      <c r="D349" s="1059"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E349" s="1063"/>
      <c r="F349" s="1063"/>
      <c r="G349" s="1063"/>
      <c r="H349" s="1063"/>
      <c r="I349" s="1063"/>
      <c r="J349" s="1063"/>
      <c r="K349" s="1063"/>
      <c r="L349" s="1063"/>
      <c r="O349" s="87"/>
      <c r="P349" s="87"/>
      <c r="Q349" s="87"/>
      <c r="R349" s="87"/>
      <c r="S349" s="87"/>
      <c r="T349" s="87"/>
      <c r="U349" s="87"/>
    </row>
    <row r="350" spans="2:21" ht="15">
      <c r="B350" s="100"/>
      <c r="C350" s="15"/>
      <c r="D350" s="1059"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E350" s="1063"/>
      <c r="F350" s="1063"/>
      <c r="G350" s="1063"/>
      <c r="H350" s="1063"/>
      <c r="I350" s="1063"/>
      <c r="J350" s="1063"/>
      <c r="K350" s="1063"/>
      <c r="L350" s="1063"/>
      <c r="O350" s="87"/>
      <c r="P350" s="87"/>
      <c r="Q350" s="87"/>
      <c r="R350" s="87"/>
      <c r="S350" s="87"/>
      <c r="T350" s="87"/>
      <c r="U350" s="87"/>
    </row>
    <row r="351" spans="2:21" ht="15">
      <c r="B351" s="100"/>
      <c r="C351" s="15"/>
      <c r="D351" s="1135" t="s">
        <v>644</v>
      </c>
      <c r="E351" s="1136"/>
      <c r="F351" s="1136"/>
      <c r="G351" s="1136"/>
      <c r="H351" s="1136"/>
      <c r="I351" s="1136"/>
      <c r="J351" s="1136"/>
      <c r="K351" s="1062"/>
      <c r="L351" s="1062"/>
      <c r="O351" s="87"/>
      <c r="P351" s="87"/>
      <c r="Q351" s="87"/>
      <c r="R351" s="87"/>
      <c r="S351" s="87"/>
      <c r="T351" s="87"/>
      <c r="U351" s="87"/>
    </row>
    <row r="352" spans="2:21" ht="15">
      <c r="B352" s="100"/>
      <c r="C352" s="15"/>
      <c r="D352" s="1137"/>
      <c r="E352" s="1137"/>
      <c r="F352" s="1137"/>
      <c r="G352" s="1137"/>
      <c r="H352" s="1137"/>
      <c r="I352" s="1137"/>
      <c r="J352" s="1137"/>
      <c r="K352" s="1063"/>
      <c r="L352" s="1063"/>
      <c r="O352" s="87"/>
      <c r="P352" s="87"/>
      <c r="Q352" s="87"/>
      <c r="R352" s="87"/>
      <c r="S352" s="87"/>
      <c r="T352" s="87"/>
      <c r="U352" s="87"/>
    </row>
    <row r="353" spans="2:21" ht="15">
      <c r="B353" s="100"/>
      <c r="C353" s="15"/>
      <c r="D353" s="1136"/>
      <c r="E353" s="1136"/>
      <c r="F353" s="1136"/>
      <c r="G353" s="1136"/>
      <c r="H353" s="1136"/>
      <c r="I353" s="1136"/>
      <c r="J353" s="1136"/>
      <c r="K353" s="1062"/>
      <c r="L353" s="1062"/>
      <c r="O353" s="87"/>
      <c r="P353" s="87"/>
      <c r="Q353" s="87"/>
      <c r="R353" s="87"/>
      <c r="S353" s="87"/>
      <c r="T353" s="87"/>
      <c r="U353" s="87"/>
    </row>
    <row r="354" spans="2:21" ht="15">
      <c r="B354" s="100"/>
      <c r="C354" s="15"/>
      <c r="D354" s="1137"/>
      <c r="E354" s="1137"/>
      <c r="F354" s="1137"/>
      <c r="G354" s="1137"/>
      <c r="H354" s="1137"/>
      <c r="I354" s="1137"/>
      <c r="J354" s="1137"/>
      <c r="K354" s="1063"/>
      <c r="L354" s="1063"/>
      <c r="O354" s="87"/>
      <c r="P354" s="87"/>
      <c r="Q354" s="87"/>
      <c r="R354" s="87"/>
      <c r="S354" s="87"/>
      <c r="T354" s="87"/>
      <c r="U354" s="87"/>
    </row>
    <row r="355" spans="2:21" ht="15">
      <c r="B355" s="100"/>
      <c r="C355" s="15"/>
      <c r="D355" s="1059"/>
      <c r="E355" s="1063"/>
      <c r="F355" s="1063"/>
      <c r="G355" s="1063"/>
      <c r="H355" s="1063"/>
      <c r="I355" s="1063"/>
      <c r="J355" s="1063"/>
      <c r="K355" s="1063"/>
      <c r="L355" s="1063"/>
      <c r="O355" s="87"/>
      <c r="P355" s="87"/>
      <c r="Q355" s="87"/>
      <c r="R355" s="87"/>
      <c r="S355" s="87"/>
      <c r="T355" s="87"/>
      <c r="U355" s="87"/>
    </row>
    <row r="356" spans="2:21" ht="15">
      <c r="B356" s="97" t="s">
        <v>301</v>
      </c>
      <c r="C356" s="81"/>
      <c r="D356" s="1063" t="s">
        <v>347</v>
      </c>
      <c r="E356" s="1063"/>
      <c r="F356" s="1063"/>
      <c r="G356" s="1063"/>
      <c r="H356" s="1063"/>
      <c r="I356" s="1063"/>
      <c r="J356" s="1063"/>
      <c r="K356" s="1063"/>
      <c r="L356" s="1063"/>
      <c r="O356" s="87"/>
      <c r="P356" s="87"/>
      <c r="Q356" s="87"/>
      <c r="R356" s="87"/>
      <c r="S356" s="87"/>
      <c r="T356" s="87"/>
      <c r="U356" s="87"/>
    </row>
    <row r="357" spans="2:21" ht="15">
      <c r="B357" s="97"/>
      <c r="C357" s="81"/>
      <c r="D357" s="1063"/>
      <c r="E357" s="1063"/>
      <c r="F357" s="1063"/>
      <c r="G357" s="1063"/>
      <c r="H357" s="1063"/>
      <c r="I357" s="1063"/>
      <c r="J357" s="1063"/>
      <c r="K357" s="1063"/>
      <c r="L357" s="1063"/>
      <c r="O357" s="87"/>
      <c r="P357" s="87"/>
      <c r="Q357" s="87"/>
      <c r="R357" s="87"/>
      <c r="S357" s="87"/>
      <c r="T357" s="87"/>
      <c r="U357" s="87"/>
    </row>
    <row r="358" spans="2:21" ht="15" customHeight="1">
      <c r="B358" s="971" t="s">
        <v>439</v>
      </c>
      <c r="C358" s="791"/>
      <c r="D358" s="1166" t="str">
        <f>"Per Settlement, equity for "&amp;F7&amp;"  is limited to "&amp;E260*100&amp;"% of Capital Structure.  If the percentage of equity exceeds the cap, the excess is included in weighted percentage of long term debt in the capital structure."</f>
        <v>Per Settlement, equity for KINGSPORT POWER COMPANY  is limited to 100% of Capital Structure.  If the percentage of equity exceeds the cap, the excess is included in weighted percentage of long term debt in the capital structure.</v>
      </c>
      <c r="E358" s="1163"/>
      <c r="F358" s="1163"/>
      <c r="G358" s="1163"/>
      <c r="H358" s="1163"/>
      <c r="I358" s="1163"/>
      <c r="J358" s="1163"/>
      <c r="K358" s="1062"/>
      <c r="L358" s="1062"/>
      <c r="O358" s="87"/>
      <c r="P358" s="87"/>
      <c r="Q358" s="87"/>
      <c r="R358" s="87"/>
      <c r="S358" s="87"/>
      <c r="T358" s="87"/>
      <c r="U358" s="87"/>
    </row>
    <row r="359" spans="2:21" ht="15">
      <c r="B359" s="97"/>
      <c r="C359" s="81"/>
      <c r="D359" s="1145"/>
      <c r="E359" s="1145"/>
      <c r="F359" s="1145"/>
      <c r="G359" s="1145"/>
      <c r="H359" s="1145"/>
      <c r="I359" s="1145"/>
      <c r="J359" s="1145"/>
      <c r="K359" s="1063"/>
      <c r="L359" s="1063"/>
      <c r="O359" s="87"/>
      <c r="P359" s="87"/>
      <c r="Q359" s="87"/>
      <c r="R359" s="87"/>
      <c r="S359" s="87"/>
      <c r="T359" s="87"/>
      <c r="U359" s="87"/>
    </row>
    <row r="360" spans="2:21" ht="15">
      <c r="B360" s="97"/>
      <c r="C360" s="81"/>
      <c r="D360" s="1063" t="s">
        <v>116</v>
      </c>
      <c r="E360" s="1063"/>
      <c r="F360" s="1063"/>
      <c r="G360" s="1063"/>
      <c r="H360" s="1063"/>
      <c r="I360" s="1063"/>
      <c r="J360" s="1063"/>
      <c r="K360" s="1063"/>
      <c r="L360" s="1063"/>
      <c r="O360" s="87"/>
      <c r="P360" s="87"/>
      <c r="Q360" s="87"/>
      <c r="R360" s="87"/>
      <c r="S360" s="87"/>
      <c r="T360" s="87"/>
      <c r="U360" s="87"/>
    </row>
    <row r="361" spans="2:21" ht="15">
      <c r="B361" s="97"/>
      <c r="C361" s="81"/>
      <c r="D361" s="1063"/>
      <c r="E361" s="1063"/>
      <c r="F361" s="1063"/>
      <c r="G361" s="1063"/>
      <c r="H361" s="1063"/>
      <c r="I361" s="1063"/>
      <c r="J361" s="1063"/>
      <c r="K361" s="1063"/>
      <c r="L361" s="1063"/>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c r="C367"/>
      <c r="D36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7"/>
      <c r="F367"/>
      <c r="G367"/>
      <c r="H367"/>
      <c r="O367" s="87"/>
      <c r="P367" s="87"/>
      <c r="Q367" s="87"/>
      <c r="R367" s="87"/>
      <c r="S367" s="87"/>
      <c r="T367" s="87"/>
      <c r="U367" s="87"/>
    </row>
    <row r="368" spans="2:21" ht="15">
      <c r="B368"/>
      <c r="C368"/>
      <c r="D368"/>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s="1165"/>
      <c r="E371" s="1165"/>
      <c r="F371" s="1165"/>
      <c r="G371" s="1165"/>
      <c r="H371" s="1165"/>
      <c r="I371" s="1165"/>
      <c r="J371" s="1165"/>
      <c r="O371" s="87"/>
      <c r="P371" s="87"/>
      <c r="Q371" s="87"/>
      <c r="R371" s="87"/>
      <c r="S371" s="87"/>
      <c r="T371" s="87"/>
      <c r="U371" s="87"/>
    </row>
    <row r="372" spans="2:21" ht="15">
      <c r="B372"/>
      <c r="C372"/>
      <c r="D372" s="1165"/>
      <c r="E372" s="1165"/>
      <c r="F372" s="1165"/>
      <c r="G372" s="1165"/>
      <c r="H372" s="1165"/>
      <c r="I372" s="1165"/>
      <c r="J372" s="1165"/>
      <c r="O372" s="87"/>
      <c r="P372" s="87"/>
      <c r="Q372" s="87"/>
      <c r="R372" s="87"/>
      <c r="S372" s="87"/>
      <c r="T372" s="87"/>
      <c r="U372" s="87"/>
    </row>
    <row r="373" spans="2:21" ht="15">
      <c r="B373"/>
      <c r="C373"/>
      <c r="D373"/>
      <c r="E373"/>
      <c r="F373"/>
      <c r="G373"/>
      <c r="H373"/>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s="97"/>
      <c r="C378" s="81"/>
      <c r="O378" s="87"/>
      <c r="P378" s="87"/>
      <c r="Q378" s="87"/>
      <c r="R378" s="87"/>
      <c r="S378" s="87"/>
      <c r="T378" s="87"/>
      <c r="U378" s="87"/>
    </row>
    <row r="379" spans="2:21" ht="15">
      <c r="B379" s="16"/>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H382" s="87"/>
      <c r="I382" s="87"/>
      <c r="J382" s="87"/>
      <c r="K382" s="87"/>
      <c r="L382" s="87"/>
      <c r="O382" s="87"/>
      <c r="P382" s="87"/>
      <c r="Q382" s="87"/>
      <c r="R382" s="87"/>
      <c r="S382" s="87"/>
      <c r="T382" s="87"/>
      <c r="U382" s="87"/>
    </row>
    <row r="383" spans="2:21" ht="15">
      <c r="B383" s="16"/>
      <c r="H383" s="87"/>
      <c r="K383" s="87"/>
      <c r="L383" s="87"/>
      <c r="O383" s="87"/>
      <c r="P383" s="87"/>
      <c r="Q383" s="87"/>
      <c r="R383" s="87"/>
      <c r="S383" s="87"/>
      <c r="T383" s="87"/>
      <c r="U383" s="87"/>
    </row>
    <row r="384" spans="2:21" ht="15">
      <c r="B384" s="16"/>
      <c r="H384" s="87"/>
      <c r="I384" s="87" t="s">
        <v>350</v>
      </c>
      <c r="J384" s="201"/>
      <c r="K384" s="87"/>
      <c r="L384" s="87"/>
      <c r="O384" s="87"/>
      <c r="P384" s="87"/>
      <c r="Q384" s="87"/>
      <c r="R384" s="87"/>
      <c r="S384" s="87"/>
      <c r="T384" s="87"/>
      <c r="U384" s="87"/>
    </row>
    <row r="385" spans="2:21" ht="15">
      <c r="B385" s="16"/>
      <c r="H385" s="87"/>
      <c r="I385" s="200" t="s">
        <v>724</v>
      </c>
      <c r="J385" s="201">
        <v>1</v>
      </c>
      <c r="K385" s="87"/>
      <c r="L385" s="87"/>
      <c r="O385" s="87"/>
      <c r="P385" s="87"/>
      <c r="Q385" s="87"/>
      <c r="R385" s="87"/>
      <c r="S385" s="87"/>
      <c r="T385" s="87"/>
      <c r="U385" s="87"/>
    </row>
    <row r="386" spans="2:21" ht="15">
      <c r="B386" s="16"/>
      <c r="H386" s="87"/>
      <c r="I386" s="200" t="s">
        <v>191</v>
      </c>
      <c r="J386" s="201">
        <f>'KGPCo True-UP TCOS'!$J$70</f>
        <v>0.15347711309513018</v>
      </c>
      <c r="K386" s="87"/>
      <c r="L386" s="87"/>
      <c r="O386" s="87"/>
      <c r="P386" s="87"/>
      <c r="Q386" s="87"/>
      <c r="R386" s="87"/>
      <c r="S386" s="87"/>
      <c r="T386" s="87"/>
      <c r="U386" s="87"/>
    </row>
    <row r="387" spans="2:21" ht="15">
      <c r="B387" s="16"/>
      <c r="H387" s="87"/>
      <c r="I387" s="200" t="s">
        <v>25</v>
      </c>
      <c r="J387" s="201">
        <f>'KGPCo True-UP TCOS'!$J$71</f>
        <v>0</v>
      </c>
      <c r="K387" s="87"/>
      <c r="L387" s="87"/>
      <c r="O387" s="87"/>
      <c r="P387" s="87"/>
      <c r="Q387" s="87"/>
      <c r="R387" s="87"/>
      <c r="S387" s="87"/>
      <c r="T387" s="87"/>
      <c r="U387" s="87"/>
    </row>
    <row r="388" spans="2:21" ht="15">
      <c r="B388" s="5"/>
      <c r="C388" s="87"/>
      <c r="D388" s="87"/>
      <c r="E388" s="87"/>
      <c r="F388" s="87"/>
      <c r="G388" s="87"/>
      <c r="H388" s="87"/>
      <c r="I388" s="200" t="s">
        <v>722</v>
      </c>
      <c r="J388" s="202">
        <v>0</v>
      </c>
      <c r="K388" s="87"/>
      <c r="L388" s="87"/>
      <c r="O388" s="87"/>
      <c r="P388" s="87"/>
      <c r="Q388" s="87"/>
      <c r="R388" s="87"/>
      <c r="S388" s="87"/>
      <c r="T388" s="87"/>
      <c r="U388" s="87"/>
    </row>
    <row r="389" spans="2:21" ht="15">
      <c r="B389" s="5"/>
      <c r="C389" s="87"/>
      <c r="D389" s="87"/>
      <c r="E389" s="87"/>
      <c r="F389" s="87"/>
      <c r="G389" s="87"/>
      <c r="H389" s="87"/>
      <c r="I389" s="200" t="s">
        <v>192</v>
      </c>
      <c r="J389" s="201">
        <f>$J$100</f>
        <v>0.1258591234144153</v>
      </c>
      <c r="K389" s="87"/>
      <c r="L389" s="87"/>
      <c r="O389" s="87"/>
      <c r="P389" s="87"/>
      <c r="Q389" s="87"/>
      <c r="R389" s="87"/>
      <c r="S389" s="87"/>
      <c r="T389" s="87"/>
      <c r="U389" s="87"/>
    </row>
    <row r="390" spans="2:21" ht="15">
      <c r="B390" s="5"/>
      <c r="C390" s="87"/>
      <c r="D390" s="87"/>
      <c r="E390" s="87"/>
      <c r="F390" s="87"/>
      <c r="G390" s="87"/>
      <c r="H390" s="87"/>
      <c r="I390" s="200" t="s">
        <v>715</v>
      </c>
      <c r="J390" s="201">
        <f>$L$231</f>
        <v>1</v>
      </c>
      <c r="K390" s="87"/>
      <c r="L390" s="87"/>
      <c r="O390" s="87"/>
      <c r="P390" s="87"/>
      <c r="Q390" s="87"/>
      <c r="R390" s="87"/>
      <c r="S390" s="87"/>
      <c r="T390" s="87"/>
      <c r="U390" s="87"/>
    </row>
    <row r="391" spans="2:12" ht="15">
      <c r="B391" s="9"/>
      <c r="C391" s="59"/>
      <c r="D391" s="59"/>
      <c r="E391" s="59"/>
      <c r="F391" s="59"/>
      <c r="G391" s="59"/>
      <c r="H391" s="59"/>
      <c r="I391" s="200" t="s">
        <v>646</v>
      </c>
      <c r="J391" s="201">
        <f>$J$75</f>
        <v>1</v>
      </c>
      <c r="K391" s="59"/>
      <c r="L391" s="59"/>
    </row>
    <row r="392" spans="2:12" ht="15">
      <c r="B392" s="9"/>
      <c r="C392" s="59"/>
      <c r="D392" s="59"/>
      <c r="E392" s="59"/>
      <c r="F392" s="59"/>
      <c r="G392" s="59"/>
      <c r="H392" s="59"/>
      <c r="I392" s="200" t="s">
        <v>727</v>
      </c>
      <c r="J392" s="201">
        <f>$L$241</f>
        <v>0.1151916355991698</v>
      </c>
      <c r="K392" s="59"/>
      <c r="L392" s="59"/>
    </row>
    <row r="393" spans="2:12" ht="15">
      <c r="B393" s="9"/>
      <c r="C393" s="59"/>
      <c r="D393" s="59"/>
      <c r="E393" s="59"/>
      <c r="F393" s="59"/>
      <c r="G393" s="59"/>
      <c r="H393" s="59"/>
      <c r="I393" s="59"/>
      <c r="J393" s="59"/>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9:10" ht="15">
      <c r="I1249" s="59"/>
      <c r="J1249" s="59"/>
    </row>
  </sheetData>
  <sheetProtection/>
  <mergeCells count="18">
    <mergeCell ref="D328:L330"/>
    <mergeCell ref="I140:J140"/>
    <mergeCell ref="E182:E183"/>
    <mergeCell ref="G253:H253"/>
    <mergeCell ref="D307:K309"/>
    <mergeCell ref="D320:K321"/>
    <mergeCell ref="D316:J318"/>
    <mergeCell ref="D303:K305"/>
    <mergeCell ref="D358:J359"/>
    <mergeCell ref="D371:J372"/>
    <mergeCell ref="B17:I18"/>
    <mergeCell ref="I53:J53"/>
    <mergeCell ref="I56:J56"/>
    <mergeCell ref="I137:J137"/>
    <mergeCell ref="D35:L35"/>
    <mergeCell ref="D282:K283"/>
    <mergeCell ref="D310:J311"/>
    <mergeCell ref="D351:J354"/>
  </mergeCells>
  <printOptions/>
  <pageMargins left="0.26" right="0.5" top="1" bottom="1" header="0.75" footer="0.5"/>
  <pageSetup fitToHeight="5" horizontalDpi="600" verticalDpi="600" orientation="portrait" scale="43"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zoomScale="75" zoomScaleNormal="75" zoomScaleSheetLayoutView="100" zoomScalePageLayoutView="0" workbookViewId="0" topLeftCell="A1">
      <selection activeCell="A1" sqref="A1"/>
    </sheetView>
  </sheetViews>
  <sheetFormatPr defaultColWidth="11.421875" defaultRowHeight="12.75"/>
  <cols>
    <col min="1" max="1" width="9.00390625" style="238" customWidth="1"/>
    <col min="2" max="2" width="4.28125" style="239" customWidth="1"/>
    <col min="3" max="3" width="45.57421875" style="239" customWidth="1"/>
    <col min="4" max="4" width="41.28125" style="239" bestFit="1" customWidth="1"/>
    <col min="5" max="5" width="19.421875" style="239" customWidth="1"/>
    <col min="6" max="6" width="20.140625" style="239" customWidth="1"/>
    <col min="7" max="8" width="17.00390625" style="239" customWidth="1"/>
    <col min="9" max="9" width="16.00390625" style="251" customWidth="1"/>
    <col min="10" max="10" width="16.7109375" style="239" customWidth="1"/>
    <col min="11" max="11" width="13.7109375" style="239" customWidth="1"/>
    <col min="12" max="12" width="11.57421875" style="239" customWidth="1"/>
    <col min="13" max="14" width="13.421875" style="239" customWidth="1"/>
    <col min="15" max="15" width="13.7109375" style="239" customWidth="1"/>
    <col min="16" max="16384" width="11.421875" style="239" customWidth="1"/>
  </cols>
  <sheetData>
    <row r="1" spans="1:10" ht="15">
      <c r="A1" s="1141" t="s">
        <v>282</v>
      </c>
      <c r="B1" s="1141"/>
      <c r="C1" s="1141"/>
      <c r="D1" s="1141"/>
      <c r="E1" s="1141"/>
      <c r="F1" s="1141"/>
      <c r="G1" s="1141"/>
      <c r="H1" s="175"/>
      <c r="I1"/>
      <c r="J1"/>
    </row>
    <row r="2" spans="1:9" ht="15">
      <c r="A2" s="1140" t="str">
        <f>"Cost of Service Formula Rate Using "&amp;'KGPCo Historic TCOS'!O1&amp;" FF1 Balances"</f>
        <v>Cost of Service Formula Rate Using 2011 FF1 Balances</v>
      </c>
      <c r="B2" s="1140"/>
      <c r="C2" s="1140"/>
      <c r="D2" s="1140"/>
      <c r="E2" s="1140"/>
      <c r="F2" s="1140"/>
      <c r="G2" s="1140"/>
      <c r="H2" s="490"/>
      <c r="I2" s="239"/>
    </row>
    <row r="3" spans="1:9" ht="15">
      <c r="A3" s="1140" t="s">
        <v>441</v>
      </c>
      <c r="B3" s="1140"/>
      <c r="C3" s="1140"/>
      <c r="D3" s="1140"/>
      <c r="E3" s="1140"/>
      <c r="F3" s="1140"/>
      <c r="G3" s="1140"/>
      <c r="H3" s="291"/>
      <c r="I3" s="239"/>
    </row>
    <row r="4" spans="1:9" ht="15">
      <c r="A4" s="1142" t="str">
        <f>+'KGPCo Historic TCOS'!F7</f>
        <v>KINGSPORT POWER COMPANY</v>
      </c>
      <c r="B4" s="1142"/>
      <c r="C4" s="1142"/>
      <c r="D4" s="1142"/>
      <c r="E4" s="1142"/>
      <c r="F4" s="1142"/>
      <c r="G4" s="1142"/>
      <c r="H4" s="491"/>
      <c r="I4" s="239"/>
    </row>
    <row r="5" spans="1:9" ht="15">
      <c r="A5" s="491"/>
      <c r="B5" s="491"/>
      <c r="C5" s="491"/>
      <c r="E5" s="614"/>
      <c r="F5" s="614"/>
      <c r="G5" s="614"/>
      <c r="H5" s="614"/>
      <c r="I5" s="614"/>
    </row>
    <row r="6" spans="3:9" ht="12.75">
      <c r="C6" s="268" t="s">
        <v>757</v>
      </c>
      <c r="D6" s="268" t="s">
        <v>758</v>
      </c>
      <c r="E6" s="268" t="s">
        <v>759</v>
      </c>
      <c r="F6" s="268" t="s">
        <v>760</v>
      </c>
      <c r="G6" s="268" t="s">
        <v>676</v>
      </c>
      <c r="H6" s="268"/>
      <c r="I6" s="269"/>
    </row>
    <row r="7" spans="1:9" ht="12.75" customHeight="1">
      <c r="A7" s="115" t="s">
        <v>764</v>
      </c>
      <c r="C7" s="268"/>
      <c r="D7" s="268"/>
      <c r="E7" s="1119" t="str">
        <f>"Balance @ December 31, "&amp;'KGPCo Historic TCOS'!O1&amp;""</f>
        <v>Balance @ December 31, 2011</v>
      </c>
      <c r="F7" s="1138" t="str">
        <f>"Balance @ December 31, "&amp;'KGPCo Historic TCOS'!O1-1&amp;""</f>
        <v>Balance @ December 31, 2010</v>
      </c>
      <c r="G7" s="1138" t="str">
        <f>"Average Balance for "&amp;'KGPCo Historic TCOS'!O1&amp;""</f>
        <v>Average Balance for 2011</v>
      </c>
      <c r="H7" s="268"/>
      <c r="I7" s="269"/>
    </row>
    <row r="8" spans="1:14" ht="26.25" customHeight="1">
      <c r="A8" s="115" t="s">
        <v>700</v>
      </c>
      <c r="C8" s="270" t="s">
        <v>543</v>
      </c>
      <c r="D8" s="270" t="s">
        <v>542</v>
      </c>
      <c r="E8" s="1139"/>
      <c r="F8" s="1139"/>
      <c r="G8" s="1139"/>
      <c r="H8" s="270"/>
      <c r="I8" s="270"/>
      <c r="K8"/>
      <c r="L8"/>
      <c r="M8"/>
      <c r="N8"/>
    </row>
    <row r="9" spans="1:14" s="251" customFormat="1" ht="12.75">
      <c r="A9" s="368"/>
      <c r="B9" s="368"/>
      <c r="C9" s="368"/>
      <c r="D9" s="368"/>
      <c r="F9" s="797"/>
      <c r="G9" s="244"/>
      <c r="H9" s="271"/>
      <c r="I9" s="135"/>
      <c r="J9" s="271"/>
      <c r="K9"/>
      <c r="L9"/>
      <c r="M9"/>
      <c r="N9"/>
    </row>
    <row r="10" spans="1:14" s="251" customFormat="1" ht="12.75">
      <c r="A10" s="591" t="s">
        <v>426</v>
      </c>
      <c r="B10" s="135"/>
      <c r="C10" s="135"/>
      <c r="D10" s="135"/>
      <c r="F10" s="501"/>
      <c r="G10" s="271"/>
      <c r="H10" s="271"/>
      <c r="I10" s="135"/>
      <c r="J10" s="271"/>
      <c r="K10"/>
      <c r="L10"/>
      <c r="M10"/>
      <c r="N10"/>
    </row>
    <row r="11" spans="1:14" s="251" customFormat="1" ht="12.75">
      <c r="A11" s="591"/>
      <c r="B11" s="135"/>
      <c r="C11" s="135"/>
      <c r="D11" s="135"/>
      <c r="F11" s="501"/>
      <c r="G11" s="271"/>
      <c r="H11" s="271"/>
      <c r="I11" s="135"/>
      <c r="J11" s="271"/>
      <c r="K11"/>
      <c r="L11"/>
      <c r="M11"/>
      <c r="N11"/>
    </row>
    <row r="12" spans="1:14" s="251" customFormat="1" ht="12.75">
      <c r="A12" s="275" t="s">
        <v>394</v>
      </c>
      <c r="B12" s="135"/>
      <c r="C12" s="135"/>
      <c r="D12" s="135"/>
      <c r="E12" s="135"/>
      <c r="F12" s="271"/>
      <c r="G12" s="271"/>
      <c r="H12" s="271"/>
      <c r="I12" s="135"/>
      <c r="J12" s="271"/>
      <c r="K12"/>
      <c r="L12"/>
      <c r="M12"/>
      <c r="N12"/>
    </row>
    <row r="13" spans="1:21" ht="12.75" customHeight="1">
      <c r="A13" s="256"/>
      <c r="B13" s="236"/>
      <c r="C13" s="275"/>
      <c r="D13" s="246"/>
      <c r="E13" s="149"/>
      <c r="F13" s="251"/>
      <c r="G13" s="251"/>
      <c r="H13" s="251"/>
      <c r="I13" s="149"/>
      <c r="J13" s="320"/>
      <c r="K13"/>
      <c r="L13"/>
      <c r="M13"/>
      <c r="N13"/>
      <c r="O13" s="272"/>
      <c r="P13" s="272"/>
      <c r="Q13" s="272"/>
      <c r="R13" s="272"/>
      <c r="S13" s="272"/>
      <c r="T13" s="272"/>
      <c r="U13" s="272"/>
    </row>
    <row r="14" spans="1:14" ht="12.75">
      <c r="A14" s="256">
        <v>1</v>
      </c>
      <c r="B14" s="248"/>
      <c r="C14" s="276" t="s">
        <v>7</v>
      </c>
      <c r="D14" s="245" t="s">
        <v>328</v>
      </c>
      <c r="E14" s="321">
        <v>0</v>
      </c>
      <c r="F14" s="321">
        <v>0</v>
      </c>
      <c r="G14" s="502">
        <f>IF(F14="",0,AVERAGE(E14:F14))</f>
        <v>0</v>
      </c>
      <c r="H14" s="257"/>
      <c r="I14" s="243"/>
      <c r="J14" s="256"/>
      <c r="K14" s="244"/>
      <c r="L14" s="244"/>
      <c r="M14" s="244"/>
      <c r="N14" s="244"/>
    </row>
    <row r="15" spans="1:14" ht="12.75">
      <c r="A15" s="256"/>
      <c r="B15" s="248"/>
      <c r="C15" s="241"/>
      <c r="D15" s="245"/>
      <c r="E15" s="240"/>
      <c r="F15" s="240"/>
      <c r="G15" s="257"/>
      <c r="H15" s="257"/>
      <c r="I15" s="243"/>
      <c r="J15" s="256"/>
      <c r="K15" s="244"/>
      <c r="L15" s="244"/>
      <c r="M15" s="244"/>
      <c r="N15" s="244"/>
    </row>
    <row r="16" spans="1:14" ht="12.75">
      <c r="A16" s="256">
        <f>+A14+1</f>
        <v>2</v>
      </c>
      <c r="B16" s="248"/>
      <c r="C16" s="241" t="s">
        <v>424</v>
      </c>
      <c r="D16" s="245" t="s">
        <v>336</v>
      </c>
      <c r="E16" s="321">
        <v>0</v>
      </c>
      <c r="F16" s="321">
        <v>0</v>
      </c>
      <c r="G16" s="502">
        <f>IF(F16="",0,AVERAGE(E16:F16))</f>
        <v>0</v>
      </c>
      <c r="H16" s="257"/>
      <c r="I16" s="243"/>
      <c r="J16" s="256"/>
      <c r="K16" s="244"/>
      <c r="L16" s="244"/>
      <c r="M16" s="244"/>
      <c r="N16" s="244"/>
    </row>
    <row r="17" spans="1:14" ht="12.75">
      <c r="A17"/>
      <c r="B17"/>
      <c r="C17"/>
      <c r="E17"/>
      <c r="F17"/>
      <c r="G17"/>
      <c r="H17"/>
      <c r="I17"/>
      <c r="J17"/>
      <c r="K17"/>
      <c r="L17"/>
      <c r="M17" s="244"/>
      <c r="N17" s="244"/>
    </row>
    <row r="18" spans="1:14" ht="12.75">
      <c r="A18" s="256">
        <f>+A16+1</f>
        <v>3</v>
      </c>
      <c r="B18" s="251"/>
      <c r="C18" s="276" t="s">
        <v>3</v>
      </c>
      <c r="D18" s="245" t="s">
        <v>329</v>
      </c>
      <c r="E18" s="321">
        <v>20264445</v>
      </c>
      <c r="F18" s="321">
        <v>19006058</v>
      </c>
      <c r="G18" s="502">
        <f>IF(F18="",0,AVERAGE(E18:F18))</f>
        <v>19635251.5</v>
      </c>
      <c r="H18" s="149"/>
      <c r="I18" s="243"/>
      <c r="J18" s="256"/>
      <c r="K18" s="244"/>
      <c r="L18" s="244"/>
      <c r="M18" s="244"/>
      <c r="N18" s="244"/>
    </row>
    <row r="19" spans="1:14" ht="12.75">
      <c r="A19" s="256"/>
      <c r="B19" s="246"/>
      <c r="E19" s="249"/>
      <c r="F19" s="249"/>
      <c r="G19" s="249"/>
      <c r="H19" s="249"/>
      <c r="I19" s="243"/>
      <c r="J19" s="256"/>
      <c r="K19" s="244"/>
      <c r="L19" s="244"/>
      <c r="M19" s="244"/>
      <c r="N19" s="244"/>
    </row>
    <row r="20" spans="1:14" ht="12.75">
      <c r="A20" s="256">
        <f>+A18+1</f>
        <v>4</v>
      </c>
      <c r="B20" s="246"/>
      <c r="C20" s="241" t="s">
        <v>425</v>
      </c>
      <c r="D20" s="245" t="s">
        <v>330</v>
      </c>
      <c r="E20" s="321">
        <v>0</v>
      </c>
      <c r="F20" s="321">
        <v>0</v>
      </c>
      <c r="G20" s="502">
        <f>IF(F20="",0,AVERAGE(E20:F20))</f>
        <v>0</v>
      </c>
      <c r="H20" s="249"/>
      <c r="I20" s="243"/>
      <c r="J20" s="256"/>
      <c r="K20" s="244"/>
      <c r="L20" s="244"/>
      <c r="M20" s="244"/>
      <c r="N20" s="244"/>
    </row>
    <row r="21" spans="1:14" ht="12.75">
      <c r="A21" s="256"/>
      <c r="B21" s="248"/>
      <c r="C21" s="241"/>
      <c r="D21" s="246"/>
      <c r="E21" s="240"/>
      <c r="F21" s="240"/>
      <c r="G21" s="257"/>
      <c r="H21" s="257"/>
      <c r="I21" s="243"/>
      <c r="J21" s="256"/>
      <c r="K21" s="244"/>
      <c r="L21" s="244"/>
      <c r="M21" s="244"/>
      <c r="N21" s="244"/>
    </row>
    <row r="22" spans="1:14" ht="12.75">
      <c r="A22" s="256">
        <f>+A20+1</f>
        <v>5</v>
      </c>
      <c r="B22" s="248"/>
      <c r="C22" s="276" t="s">
        <v>4</v>
      </c>
      <c r="D22" s="245" t="s">
        <v>331</v>
      </c>
      <c r="E22" s="321">
        <v>109954977</v>
      </c>
      <c r="F22" s="321">
        <v>104884064.89</v>
      </c>
      <c r="G22" s="502">
        <f>IF(F22="",0,AVERAGE(E22:F22))</f>
        <v>107419520.945</v>
      </c>
      <c r="H22" s="257"/>
      <c r="I22" s="243"/>
      <c r="J22" s="256"/>
      <c r="K22" s="244"/>
      <c r="L22" s="244"/>
      <c r="M22" s="244"/>
      <c r="N22" s="244"/>
    </row>
    <row r="23" spans="1:14" ht="12.75">
      <c r="A23" s="256"/>
      <c r="B23" s="248"/>
      <c r="C23" s="241"/>
      <c r="D23" s="245"/>
      <c r="E23" s="240"/>
      <c r="F23" s="240"/>
      <c r="G23" s="257"/>
      <c r="H23" s="257"/>
      <c r="I23" s="243"/>
      <c r="J23" s="256"/>
      <c r="K23" s="244"/>
      <c r="L23" s="244"/>
      <c r="M23" s="244"/>
      <c r="N23" s="244"/>
    </row>
    <row r="24" spans="1:14" ht="12.75">
      <c r="A24" s="256">
        <f>+A22+1</f>
        <v>6</v>
      </c>
      <c r="B24" s="248"/>
      <c r="C24" s="241" t="s">
        <v>211</v>
      </c>
      <c r="D24" s="245" t="s">
        <v>332</v>
      </c>
      <c r="E24" s="321">
        <v>0</v>
      </c>
      <c r="F24" s="321">
        <v>0</v>
      </c>
      <c r="G24" s="502">
        <f>IF(F24="",0,AVERAGE(E24:F24))</f>
        <v>0</v>
      </c>
      <c r="H24" s="257"/>
      <c r="I24" s="243"/>
      <c r="J24" s="256"/>
      <c r="K24" s="244"/>
      <c r="L24" s="244"/>
      <c r="M24" s="244"/>
      <c r="N24" s="244"/>
    </row>
    <row r="25" spans="1:14" ht="12.75">
      <c r="A25" s="256"/>
      <c r="B25" s="248"/>
      <c r="C25" s="241"/>
      <c r="D25" s="246"/>
      <c r="E25" s="240"/>
      <c r="F25" s="240"/>
      <c r="G25" s="257"/>
      <c r="H25" s="257"/>
      <c r="I25" s="243"/>
      <c r="J25" s="256"/>
      <c r="K25" s="244"/>
      <c r="L25" s="244"/>
      <c r="M25" s="244"/>
      <c r="N25" s="244"/>
    </row>
    <row r="26" spans="1:14" ht="12.75">
      <c r="A26" s="256">
        <f>+A24+1</f>
        <v>7</v>
      </c>
      <c r="B26" s="248"/>
      <c r="C26" s="276" t="s">
        <v>6</v>
      </c>
      <c r="D26" s="245" t="s">
        <v>333</v>
      </c>
      <c r="E26" s="321">
        <v>2451682</v>
      </c>
      <c r="F26" s="321">
        <v>2388946.13</v>
      </c>
      <c r="G26" s="502">
        <f>IF(F26="",0,AVERAGE(E26:F26))</f>
        <v>2420314.065</v>
      </c>
      <c r="H26" s="257"/>
      <c r="I26" s="243"/>
      <c r="J26" s="256"/>
      <c r="K26" s="244"/>
      <c r="L26" s="244"/>
      <c r="M26" s="244"/>
      <c r="N26" s="244"/>
    </row>
    <row r="27" spans="1:14" ht="12.75">
      <c r="A27" s="256"/>
      <c r="B27" s="248"/>
      <c r="C27" s="241"/>
      <c r="D27" s="245"/>
      <c r="E27" s="240"/>
      <c r="F27" s="240"/>
      <c r="G27" s="257"/>
      <c r="H27" s="257"/>
      <c r="I27" s="243"/>
      <c r="J27" s="256"/>
      <c r="K27" s="244"/>
      <c r="L27" s="244"/>
      <c r="M27" s="244"/>
      <c r="N27" s="244"/>
    </row>
    <row r="28" spans="1:14" ht="12.75">
      <c r="A28" s="256">
        <f>+A26+1</f>
        <v>8</v>
      </c>
      <c r="B28" s="248"/>
      <c r="C28" s="241" t="s">
        <v>212</v>
      </c>
      <c r="D28" s="245" t="s">
        <v>334</v>
      </c>
      <c r="E28" s="321">
        <v>0</v>
      </c>
      <c r="F28" s="321">
        <v>0</v>
      </c>
      <c r="G28" s="502">
        <f>IF(F28="",0,AVERAGE(E28:F28))</f>
        <v>0</v>
      </c>
      <c r="H28" s="257"/>
      <c r="I28" s="243"/>
      <c r="J28" s="256"/>
      <c r="K28" s="244"/>
      <c r="L28" s="244"/>
      <c r="M28" s="244"/>
      <c r="N28" s="244"/>
    </row>
    <row r="29" spans="1:14" ht="12.75">
      <c r="A29" s="256"/>
      <c r="B29" s="248"/>
      <c r="C29" s="241"/>
      <c r="D29" s="246"/>
      <c r="E29" s="240"/>
      <c r="F29" s="240"/>
      <c r="G29" s="257"/>
      <c r="H29" s="257"/>
      <c r="I29" s="243"/>
      <c r="J29" s="256"/>
      <c r="K29" s="244"/>
      <c r="L29" s="244"/>
      <c r="M29" s="244"/>
      <c r="N29" s="244"/>
    </row>
    <row r="30" spans="1:14" ht="12.75">
      <c r="A30" s="256">
        <f>+A28+1</f>
        <v>9</v>
      </c>
      <c r="B30" s="248"/>
      <c r="C30" s="276" t="s">
        <v>5</v>
      </c>
      <c r="D30" s="245" t="s">
        <v>335</v>
      </c>
      <c r="E30" s="321">
        <v>1127427</v>
      </c>
      <c r="F30" s="321">
        <v>1097382.16</v>
      </c>
      <c r="G30" s="502">
        <f>IF(F30="",0,AVERAGE(E30:F30))</f>
        <v>1112404.58</v>
      </c>
      <c r="H30" s="257"/>
      <c r="I30" s="243"/>
      <c r="J30" s="256"/>
      <c r="K30" s="244"/>
      <c r="L30" s="244"/>
      <c r="M30" s="244"/>
      <c r="N30" s="244"/>
    </row>
    <row r="31" spans="1:14" ht="12.75">
      <c r="A31" s="256"/>
      <c r="B31" s="248"/>
      <c r="C31" s="241"/>
      <c r="D31" s="245"/>
      <c r="E31" s="240"/>
      <c r="F31" s="240"/>
      <c r="G31" s="257"/>
      <c r="H31" s="257"/>
      <c r="I31" s="243"/>
      <c r="J31" s="256"/>
      <c r="K31" s="244"/>
      <c r="L31" s="244"/>
      <c r="M31" s="244"/>
      <c r="N31" s="244"/>
    </row>
    <row r="32" spans="1:14" ht="12.75">
      <c r="A32" s="256">
        <f>+A30+1</f>
        <v>10</v>
      </c>
      <c r="B32" s="248"/>
      <c r="C32" s="241" t="s">
        <v>213</v>
      </c>
      <c r="D32" s="245" t="str">
        <f>"(Sum of Lines: "&amp;A18&amp;", "&amp;A14&amp;", "&amp;A22&amp;", "&amp;A26&amp;", "&amp;A30&amp;")"</f>
        <v>(Sum of Lines: 3, 1, 5, 7, 9)</v>
      </c>
      <c r="E32" s="298">
        <f>+E18+E14+E22+E26+E30</f>
        <v>133798531</v>
      </c>
      <c r="F32" s="298">
        <f>+F18+F14+F22+F26+F30</f>
        <v>127376451.17999999</v>
      </c>
      <c r="G32" s="298">
        <f>+G18+G14+G22+G26+G30</f>
        <v>130587491.08999999</v>
      </c>
      <c r="H32"/>
      <c r="I32" s="243"/>
      <c r="J32" s="256"/>
      <c r="K32" s="244"/>
      <c r="L32" s="244"/>
      <c r="M32" s="244"/>
      <c r="N32" s="244"/>
    </row>
    <row r="33" spans="1:14" ht="12.75">
      <c r="A33" s="256"/>
      <c r="B33" s="248"/>
      <c r="C33" s="241"/>
      <c r="D33" s="246"/>
      <c r="E33" s="240"/>
      <c r="F33" s="240"/>
      <c r="G33" s="240"/>
      <c r="H33" s="257"/>
      <c r="I33" s="243"/>
      <c r="J33" s="256"/>
      <c r="K33" s="244"/>
      <c r="L33" s="244"/>
      <c r="M33" s="244"/>
      <c r="N33" s="244"/>
    </row>
    <row r="34" spans="1:14" ht="12.75">
      <c r="A34" s="256">
        <f>+A32+1</f>
        <v>11</v>
      </c>
      <c r="B34" s="248"/>
      <c r="C34" s="241" t="str">
        <f>"Total ARO Balance (included in total on line "&amp;A32&amp;")"</f>
        <v>Total ARO Balance (included in total on line 10)</v>
      </c>
      <c r="D34" s="245" t="str">
        <f>"(Sum of Lines: "&amp;A20&amp;", "&amp;A16&amp;", "&amp;A24&amp;", "&amp;A28&amp;")"</f>
        <v>(Sum of Lines: 4, 2, 6, 8)</v>
      </c>
      <c r="E34" s="298">
        <f>+E20+E16+E24+E28</f>
        <v>0</v>
      </c>
      <c r="F34" s="298">
        <f>+F20+F16+F24+F28</f>
        <v>0</v>
      </c>
      <c r="G34" s="298">
        <f>+G20+G16+G24+G28</f>
        <v>0</v>
      </c>
      <c r="H34" s="257"/>
      <c r="I34" s="243"/>
      <c r="J34" s="256"/>
      <c r="K34" s="244"/>
      <c r="L34" s="244"/>
      <c r="M34" s="244"/>
      <c r="N34" s="244"/>
    </row>
    <row r="35" spans="1:14" ht="12.75">
      <c r="A35" s="256"/>
      <c r="B35" s="248"/>
      <c r="C35" s="241"/>
      <c r="D35" s="246"/>
      <c r="E35" s="240"/>
      <c r="F35" s="240"/>
      <c r="G35" s="257"/>
      <c r="H35" s="257"/>
      <c r="I35" s="243"/>
      <c r="J35" s="256"/>
      <c r="K35" s="244"/>
      <c r="L35" s="244"/>
      <c r="M35" s="244"/>
      <c r="N35" s="244"/>
    </row>
    <row r="36" spans="1:14" ht="12.75">
      <c r="A36" s="275" t="s">
        <v>219</v>
      </c>
      <c r="B36" s="248"/>
      <c r="C36" s="241"/>
      <c r="D36" s="246"/>
      <c r="E36" s="666"/>
      <c r="F36" s="666"/>
      <c r="G36" s="257"/>
      <c r="H36" s="257"/>
      <c r="I36" s="243"/>
      <c r="J36" s="256"/>
      <c r="K36" s="244"/>
      <c r="L36" s="244"/>
      <c r="M36" s="244"/>
      <c r="N36" s="244"/>
    </row>
    <row r="37" spans="1:14" ht="12.75">
      <c r="A37" s="256"/>
      <c r="B37" s="248"/>
      <c r="C37" s="241"/>
      <c r="D37" s="246"/>
      <c r="E37" s="666"/>
      <c r="F37" s="666"/>
      <c r="G37" s="257"/>
      <c r="H37" s="257"/>
      <c r="I37" s="243"/>
      <c r="J37" s="256"/>
      <c r="K37" s="244"/>
      <c r="L37" s="244"/>
      <c r="M37" s="244"/>
      <c r="N37" s="244"/>
    </row>
    <row r="38" spans="1:14" ht="12.75" customHeight="1">
      <c r="A38" s="256">
        <f>+A34+1</f>
        <v>12</v>
      </c>
      <c r="B38" s="248"/>
      <c r="C38" s="276" t="s">
        <v>14</v>
      </c>
      <c r="D38" s="245" t="s">
        <v>261</v>
      </c>
      <c r="E38" s="321">
        <v>0</v>
      </c>
      <c r="F38" s="321">
        <v>0</v>
      </c>
      <c r="G38" s="502">
        <f>IF(F38="",0,AVERAGE(E38:F38))</f>
        <v>0</v>
      </c>
      <c r="H38" s="246"/>
      <c r="I38" s="256"/>
      <c r="J38" s="246"/>
      <c r="K38" s="244"/>
      <c r="L38" s="244"/>
      <c r="M38" s="244"/>
      <c r="N38" s="244"/>
    </row>
    <row r="39" spans="1:14" ht="12.75" customHeight="1">
      <c r="A39" s="256"/>
      <c r="B39" s="248"/>
      <c r="C39" s="241"/>
      <c r="D39" s="245"/>
      <c r="E39" s="240"/>
      <c r="F39" s="240"/>
      <c r="G39" s="257"/>
      <c r="H39" s="257"/>
      <c r="I39" s="259"/>
      <c r="J39" s="258"/>
      <c r="K39" s="244"/>
      <c r="L39" s="244"/>
      <c r="M39" s="244"/>
      <c r="N39" s="244"/>
    </row>
    <row r="40" spans="1:14" ht="12.75" customHeight="1">
      <c r="A40" s="256">
        <f>+A38+1</f>
        <v>13</v>
      </c>
      <c r="B40" s="248"/>
      <c r="C40" s="241" t="s">
        <v>218</v>
      </c>
      <c r="D40" s="245" t="s">
        <v>816</v>
      </c>
      <c r="E40" s="321">
        <v>0</v>
      </c>
      <c r="F40" s="321">
        <v>0</v>
      </c>
      <c r="G40" s="502">
        <f>IF(F40="",0,AVERAGE(E40:F40))</f>
        <v>0</v>
      </c>
      <c r="H40" s="273"/>
      <c r="I40" s="259"/>
      <c r="J40" s="246"/>
      <c r="K40" s="237"/>
      <c r="L40" s="237"/>
      <c r="M40" s="237"/>
      <c r="N40" s="237"/>
    </row>
    <row r="41" spans="1:14" ht="12.75" customHeight="1">
      <c r="A41" s="256"/>
      <c r="B41" s="248"/>
      <c r="C41" s="241"/>
      <c r="D41" s="246"/>
      <c r="E41" s="240"/>
      <c r="F41" s="240"/>
      <c r="G41"/>
      <c r="H41" s="274"/>
      <c r="I41" s="242"/>
      <c r="J41" s="246"/>
      <c r="K41" s="244"/>
      <c r="L41" s="244"/>
      <c r="M41" s="244"/>
      <c r="N41" s="244"/>
    </row>
    <row r="42" spans="1:14" ht="12.75" customHeight="1">
      <c r="A42" s="256">
        <f>+A40+1</f>
        <v>14</v>
      </c>
      <c r="B42" s="251"/>
      <c r="C42" s="276" t="s">
        <v>8</v>
      </c>
      <c r="D42" s="245" t="s">
        <v>262</v>
      </c>
      <c r="E42" s="321">
        <v>10204475</v>
      </c>
      <c r="F42" s="321">
        <v>9870172</v>
      </c>
      <c r="G42" s="502">
        <f>IF(F42="",0,AVERAGE(E42:F42))</f>
        <v>10037323.5</v>
      </c>
      <c r="H42" s="257"/>
      <c r="I42" s="243"/>
      <c r="J42" s="246"/>
      <c r="K42" s="244"/>
      <c r="L42" s="244"/>
      <c r="M42" s="244"/>
      <c r="N42" s="244"/>
    </row>
    <row r="43" spans="1:14" ht="12.75" customHeight="1">
      <c r="A43" s="256"/>
      <c r="B43" s="246"/>
      <c r="D43" s="245"/>
      <c r="E43" s="249"/>
      <c r="F43" s="249"/>
      <c r="G43" s="249"/>
      <c r="H43" s="257"/>
      <c r="I43" s="243"/>
      <c r="J43" s="246"/>
      <c r="K43" s="244"/>
      <c r="L43" s="244"/>
      <c r="M43" s="244"/>
      <c r="N43" s="244"/>
    </row>
    <row r="44" spans="1:14" ht="12.75" customHeight="1">
      <c r="A44" s="256">
        <f>+A42+1</f>
        <v>15</v>
      </c>
      <c r="B44" s="246"/>
      <c r="C44" s="241" t="s">
        <v>217</v>
      </c>
      <c r="D44" s="245" t="s">
        <v>816</v>
      </c>
      <c r="E44" s="321">
        <v>0</v>
      </c>
      <c r="F44" s="321">
        <v>0</v>
      </c>
      <c r="G44" s="502">
        <f>IF(F44="",0,AVERAGE(E44:F44))</f>
        <v>0</v>
      </c>
      <c r="H44" s="257"/>
      <c r="I44" s="243"/>
      <c r="J44" s="246"/>
      <c r="K44" s="244"/>
      <c r="L44" s="244"/>
      <c r="M44" s="244"/>
      <c r="N44" s="244"/>
    </row>
    <row r="45" spans="1:14" ht="12.75" customHeight="1">
      <c r="A45" s="256"/>
      <c r="B45" s="248"/>
      <c r="C45" s="241"/>
      <c r="D45" s="246"/>
      <c r="E45" s="240"/>
      <c r="F45" s="240"/>
      <c r="G45" s="257"/>
      <c r="H45" s="274"/>
      <c r="I45" s="242"/>
      <c r="J45" s="246"/>
      <c r="K45" s="244"/>
      <c r="L45" s="244"/>
      <c r="M45" s="244"/>
      <c r="N45" s="244"/>
    </row>
    <row r="46" spans="1:14" ht="12.75" customHeight="1">
      <c r="A46" s="256">
        <f>+A44+1</f>
        <v>16</v>
      </c>
      <c r="B46" s="248"/>
      <c r="C46" s="276" t="s">
        <v>9</v>
      </c>
      <c r="D46" s="245" t="s">
        <v>459</v>
      </c>
      <c r="E46" s="321">
        <v>42425418</v>
      </c>
      <c r="F46" s="321">
        <v>39337935</v>
      </c>
      <c r="G46" s="502">
        <f>IF(F46="",0,AVERAGE(E46:F46))</f>
        <v>40881676.5</v>
      </c>
      <c r="H46" s="274"/>
      <c r="I46" s="242"/>
      <c r="J46" s="246"/>
      <c r="K46" s="244"/>
      <c r="L46" s="244"/>
      <c r="M46" s="244"/>
      <c r="N46" s="244"/>
    </row>
    <row r="47" spans="1:14" ht="12.75" customHeight="1">
      <c r="A47" s="256"/>
      <c r="B47" s="248"/>
      <c r="C47" s="241"/>
      <c r="D47" s="245"/>
      <c r="E47" s="240"/>
      <c r="F47" s="240"/>
      <c r="G47" s="257"/>
      <c r="H47" s="274"/>
      <c r="I47" s="242"/>
      <c r="J47" s="246"/>
      <c r="K47" s="244"/>
      <c r="L47" s="244"/>
      <c r="M47" s="244"/>
      <c r="N47" s="244"/>
    </row>
    <row r="48" spans="1:14" ht="12.75" customHeight="1">
      <c r="A48" s="256">
        <f>+A46+1</f>
        <v>17</v>
      </c>
      <c r="B48" s="248"/>
      <c r="C48" s="241" t="s">
        <v>215</v>
      </c>
      <c r="D48" s="245" t="s">
        <v>816</v>
      </c>
      <c r="E48" s="321">
        <v>0</v>
      </c>
      <c r="F48" s="321">
        <v>0</v>
      </c>
      <c r="G48" s="502">
        <f>IF(F48="",0,AVERAGE(E48:F48))</f>
        <v>0</v>
      </c>
      <c r="H48" s="257"/>
      <c r="I48" s="243"/>
      <c r="J48" s="256"/>
      <c r="K48" s="244"/>
      <c r="L48" s="244"/>
      <c r="M48" s="244"/>
      <c r="N48" s="244"/>
    </row>
    <row r="49" spans="1:14" ht="12.75" customHeight="1">
      <c r="A49" s="256"/>
      <c r="B49" s="248"/>
      <c r="C49" s="241"/>
      <c r="D49" s="246"/>
      <c r="E49" s="240"/>
      <c r="F49" s="240"/>
      <c r="G49" s="257"/>
      <c r="H49" s="246"/>
      <c r="I49" s="256"/>
      <c r="J49" s="256"/>
      <c r="K49" s="244"/>
      <c r="L49" s="244"/>
      <c r="M49" s="244"/>
      <c r="N49" s="244"/>
    </row>
    <row r="50" spans="1:14" ht="12.75" customHeight="1">
      <c r="A50" s="256">
        <f>+A48+1</f>
        <v>18</v>
      </c>
      <c r="B50" s="248"/>
      <c r="C50" s="276" t="s">
        <v>214</v>
      </c>
      <c r="D50" s="245" t="s">
        <v>38</v>
      </c>
      <c r="E50" s="321">
        <v>661283</v>
      </c>
      <c r="F50" s="321">
        <v>634319</v>
      </c>
      <c r="G50" s="502">
        <f>IF(F50="",0,AVERAGE(E50:F50))</f>
        <v>647801</v>
      </c>
      <c r="H50" s="257"/>
      <c r="I50" s="259"/>
      <c r="J50" s="256"/>
      <c r="K50" s="244"/>
      <c r="L50" s="244"/>
      <c r="M50" s="244"/>
      <c r="N50" s="244"/>
    </row>
    <row r="51" spans="1:14" ht="12.75" customHeight="1">
      <c r="A51" s="256"/>
      <c r="B51" s="248"/>
      <c r="C51" s="241"/>
      <c r="D51" s="245"/>
      <c r="E51" s="240"/>
      <c r="F51" s="240"/>
      <c r="G51" s="257"/>
      <c r="H51" s="273"/>
      <c r="I51" s="259"/>
      <c r="J51" s="256"/>
      <c r="K51" s="244"/>
      <c r="L51" s="244"/>
      <c r="M51" s="244"/>
      <c r="N51" s="244"/>
    </row>
    <row r="52" spans="1:14" ht="12.75" customHeight="1">
      <c r="A52" s="256">
        <f>+A50+1</f>
        <v>19</v>
      </c>
      <c r="B52" s="248"/>
      <c r="C52" s="241" t="s">
        <v>216</v>
      </c>
      <c r="D52" s="245" t="s">
        <v>816</v>
      </c>
      <c r="E52" s="321">
        <v>0</v>
      </c>
      <c r="F52" s="321">
        <v>0</v>
      </c>
      <c r="G52" s="502">
        <f>IF(F52="",0,AVERAGE(E52:F52))</f>
        <v>0</v>
      </c>
      <c r="H52" s="274"/>
      <c r="I52" s="258"/>
      <c r="J52" s="256"/>
      <c r="K52" s="244"/>
      <c r="L52" s="244"/>
      <c r="M52" s="244"/>
      <c r="N52" s="244"/>
    </row>
    <row r="53" spans="1:14" ht="12.75" customHeight="1">
      <c r="A53" s="256"/>
      <c r="B53" s="248"/>
      <c r="C53" s="241"/>
      <c r="D53" s="246"/>
      <c r="E53" s="240"/>
      <c r="F53" s="240"/>
      <c r="G53" s="257"/>
      <c r="H53" s="274"/>
      <c r="I53" s="258"/>
      <c r="J53" s="256"/>
      <c r="K53" s="244"/>
      <c r="L53" s="244"/>
      <c r="M53" s="244"/>
      <c r="N53" s="244"/>
    </row>
    <row r="54" spans="1:14" ht="12.75" customHeight="1">
      <c r="A54" s="256">
        <f>+A52+1</f>
        <v>20</v>
      </c>
      <c r="B54" s="248"/>
      <c r="C54" s="276" t="s">
        <v>220</v>
      </c>
      <c r="D54" s="245" t="s">
        <v>460</v>
      </c>
      <c r="E54" s="321">
        <v>1473219</v>
      </c>
      <c r="F54" s="321">
        <v>1381887</v>
      </c>
      <c r="G54" s="502">
        <f>IF(F54="",0,AVERAGE(E54:F54))</f>
        <v>1427553</v>
      </c>
      <c r="H54" s="274"/>
      <c r="I54" s="242"/>
      <c r="J54" s="256"/>
      <c r="K54" s="244"/>
      <c r="L54" s="244"/>
      <c r="M54" s="244"/>
      <c r="N54" s="244"/>
    </row>
    <row r="55" spans="1:14" ht="12.75" customHeight="1">
      <c r="A55" s="256"/>
      <c r="B55" s="248"/>
      <c r="C55" s="241"/>
      <c r="D55" s="245"/>
      <c r="E55" s="240"/>
      <c r="F55" s="240"/>
      <c r="G55" s="257"/>
      <c r="H55" s="274"/>
      <c r="I55" s="242"/>
      <c r="J55" s="256"/>
      <c r="K55" s="244"/>
      <c r="L55" s="244"/>
      <c r="M55" s="244"/>
      <c r="N55" s="244"/>
    </row>
    <row r="56" spans="1:14" ht="12.75" customHeight="1">
      <c r="A56" s="256">
        <f>+A54+1</f>
        <v>21</v>
      </c>
      <c r="B56" s="248"/>
      <c r="C56" s="241" t="s">
        <v>221</v>
      </c>
      <c r="D56" s="245" t="str">
        <f>"(Sum of Lines: "&amp;A42&amp;", "&amp;A38&amp;", "&amp;A46&amp;", "&amp;A50&amp;", "&amp;A54&amp;")"</f>
        <v>(Sum of Lines: 14, 12, 16, 18, 20)</v>
      </c>
      <c r="E56" s="298">
        <f>+E42+E38+E46+E50+E54</f>
        <v>54764395</v>
      </c>
      <c r="F56" s="298">
        <f>+F42+F38+F46+F50+F54</f>
        <v>51224313</v>
      </c>
      <c r="G56" s="298">
        <f>+G42+G38+G46+G50+G54</f>
        <v>52994354</v>
      </c>
      <c r="H56" s="246"/>
      <c r="I56" s="256"/>
      <c r="J56" s="246"/>
      <c r="K56" s="244"/>
      <c r="L56" s="244"/>
      <c r="M56" s="244"/>
      <c r="N56" s="244"/>
    </row>
    <row r="57" spans="1:14" ht="12.75" customHeight="1">
      <c r="A57" s="256"/>
      <c r="B57" s="248"/>
      <c r="C57" s="241"/>
      <c r="D57" s="246"/>
      <c r="E57" s="240"/>
      <c r="F57" s="240"/>
      <c r="G57" s="240"/>
      <c r="H57" s="257"/>
      <c r="I57" s="259"/>
      <c r="J57" s="251"/>
      <c r="K57" s="244"/>
      <c r="L57" s="244"/>
      <c r="M57" s="244"/>
      <c r="N57" s="244"/>
    </row>
    <row r="58" spans="1:14" ht="12.75" customHeight="1">
      <c r="A58" s="256">
        <f>+A56+1</f>
        <v>22</v>
      </c>
      <c r="B58" s="248"/>
      <c r="C58" s="241" t="str">
        <f>"Total ARO Balance (included in total on line "&amp;A56&amp;")"</f>
        <v>Total ARO Balance (included in total on line 21)</v>
      </c>
      <c r="D58" s="245" t="str">
        <f>"(Sum of Lines: "&amp;A44&amp;", "&amp;A40&amp;", "&amp;A48&amp;", "&amp;A52&amp;")"</f>
        <v>(Sum of Lines: 15, 13, 17, 19)</v>
      </c>
      <c r="E58" s="298">
        <f>+E44+E40+E48+E52</f>
        <v>0</v>
      </c>
      <c r="F58" s="298">
        <f>+F44+F40+F48+F52</f>
        <v>0</v>
      </c>
      <c r="G58" s="298">
        <f>+G44+G40+G48+G52</f>
        <v>0</v>
      </c>
      <c r="H58" s="273"/>
      <c r="I58" s="259"/>
      <c r="J58" s="246"/>
      <c r="K58" s="237"/>
      <c r="L58" s="237"/>
      <c r="M58" s="237"/>
      <c r="N58" s="237"/>
    </row>
    <row r="59" spans="1:14" ht="12.75" customHeight="1">
      <c r="A59" s="256"/>
      <c r="B59" s="248"/>
      <c r="C59" s="241"/>
      <c r="D59" s="245"/>
      <c r="E59" s="503"/>
      <c r="F59" s="503"/>
      <c r="G59" s="257"/>
      <c r="H59" s="273"/>
      <c r="I59" s="259"/>
      <c r="J59" s="246"/>
      <c r="K59" s="237"/>
      <c r="L59" s="237"/>
      <c r="M59" s="237"/>
      <c r="N59" s="237"/>
    </row>
    <row r="60" spans="1:14" ht="12.75" customHeight="1">
      <c r="A60" s="275" t="s">
        <v>222</v>
      </c>
      <c r="B60" s="248"/>
      <c r="C60" s="241"/>
      <c r="D60" s="245"/>
      <c r="E60" s="503"/>
      <c r="F60" s="503"/>
      <c r="G60" s="257"/>
      <c r="H60" s="273"/>
      <c r="I60" s="259"/>
      <c r="J60" s="246"/>
      <c r="K60" s="237"/>
      <c r="L60" s="237"/>
      <c r="M60" s="237"/>
      <c r="N60" s="237"/>
    </row>
    <row r="61" spans="1:14" ht="12.75" customHeight="1">
      <c r="A61" s="256"/>
      <c r="B61" s="248"/>
      <c r="C61" s="241"/>
      <c r="D61" s="245"/>
      <c r="E61" s="503"/>
      <c r="F61" s="503"/>
      <c r="G61" s="257"/>
      <c r="H61" s="273"/>
      <c r="I61" s="259"/>
      <c r="J61" s="246"/>
      <c r="K61" s="237"/>
      <c r="L61" s="237"/>
      <c r="M61" s="237"/>
      <c r="N61" s="237"/>
    </row>
    <row r="62" spans="1:14" ht="12.75" customHeight="1">
      <c r="A62" s="256">
        <f>+A58+1</f>
        <v>23</v>
      </c>
      <c r="B62" s="248"/>
      <c r="C62" s="241" t="s">
        <v>223</v>
      </c>
      <c r="D62" s="245" t="s">
        <v>816</v>
      </c>
      <c r="E62" s="321">
        <v>0</v>
      </c>
      <c r="F62" s="321">
        <v>0</v>
      </c>
      <c r="G62" s="502">
        <f>IF(F62="",0,AVERAGE(E62:F62))</f>
        <v>0</v>
      </c>
      <c r="H62" s="273"/>
      <c r="I62" s="259"/>
      <c r="J62" s="246"/>
      <c r="K62" s="237"/>
      <c r="L62" s="237"/>
      <c r="M62" s="237"/>
      <c r="N62" s="237"/>
    </row>
    <row r="63" spans="1:14" ht="12.75" customHeight="1">
      <c r="A63" s="256"/>
      <c r="B63" s="248"/>
      <c r="C63" s="241"/>
      <c r="D63" s="245"/>
      <c r="E63" s="234"/>
      <c r="F63" s="234"/>
      <c r="G63" s="502"/>
      <c r="H63" s="273"/>
      <c r="I63" s="259"/>
      <c r="J63" s="246"/>
      <c r="K63" s="237"/>
      <c r="L63" s="237"/>
      <c r="M63" s="237"/>
      <c r="N63" s="237"/>
    </row>
    <row r="64" spans="1:14" ht="12.75" customHeight="1">
      <c r="A64" s="256">
        <f>+A62+1</f>
        <v>24</v>
      </c>
      <c r="B64" s="248"/>
      <c r="C64" s="241" t="s">
        <v>224</v>
      </c>
      <c r="D64" s="245" t="s">
        <v>816</v>
      </c>
      <c r="E64" s="321">
        <v>0</v>
      </c>
      <c r="F64" s="321">
        <v>0</v>
      </c>
      <c r="G64" s="502">
        <f>IF(F64="",0,AVERAGE(E64:F64))</f>
        <v>0</v>
      </c>
      <c r="H64" s="273"/>
      <c r="I64" s="259"/>
      <c r="J64" s="246"/>
      <c r="K64" s="237"/>
      <c r="L64" s="237"/>
      <c r="M64" s="237"/>
      <c r="N64" s="237"/>
    </row>
    <row r="65" spans="1:14" ht="12.75" customHeight="1">
      <c r="A65" s="256"/>
      <c r="B65" s="248"/>
      <c r="C65" s="241"/>
      <c r="D65" s="245"/>
      <c r="E65" s="503"/>
      <c r="F65" s="503"/>
      <c r="G65" s="257"/>
      <c r="H65" s="273"/>
      <c r="I65" s="259"/>
      <c r="J65" s="246"/>
      <c r="K65" s="237"/>
      <c r="L65" s="237"/>
      <c r="M65" s="237"/>
      <c r="N65" s="237"/>
    </row>
    <row r="66" spans="1:14" ht="12.75" customHeight="1">
      <c r="A66" s="256">
        <f>+A64+1</f>
        <v>25</v>
      </c>
      <c r="B66" s="248"/>
      <c r="C66" s="241" t="s">
        <v>251</v>
      </c>
      <c r="D66" s="245" t="str">
        <f>"(Line "&amp;A62&amp;" - Line  "&amp;A64&amp;")"</f>
        <v>(Line 23 - Line  24)</v>
      </c>
      <c r="E66" s="298">
        <f>+E62-E64</f>
        <v>0</v>
      </c>
      <c r="F66" s="298">
        <f>+F62-F64</f>
        <v>0</v>
      </c>
      <c r="G66" s="298">
        <f>+G62-G64</f>
        <v>0</v>
      </c>
      <c r="H66" s="273"/>
      <c r="I66" s="259"/>
      <c r="J66" s="246"/>
      <c r="K66" s="237"/>
      <c r="L66" s="237"/>
      <c r="M66" s="237"/>
      <c r="N66" s="237"/>
    </row>
    <row r="67" spans="1:14" ht="12.75" customHeight="1">
      <c r="A67" s="256"/>
      <c r="B67" s="248"/>
      <c r="C67" s="241"/>
      <c r="D67" s="245"/>
      <c r="E67" s="234"/>
      <c r="F67" s="234"/>
      <c r="G67" s="234"/>
      <c r="H67" s="273"/>
      <c r="I67" s="259"/>
      <c r="J67" s="246"/>
      <c r="K67" s="237"/>
      <c r="L67" s="237"/>
      <c r="M67" s="237"/>
      <c r="N67" s="237"/>
    </row>
    <row r="68" spans="1:14" ht="12.75" customHeight="1">
      <c r="A68" s="247" t="s">
        <v>467</v>
      </c>
      <c r="B68" s="248"/>
      <c r="C68" s="241"/>
      <c r="D68" s="245"/>
      <c r="E68" s="234"/>
      <c r="F68" s="234"/>
      <c r="G68" s="234"/>
      <c r="H68" s="273"/>
      <c r="I68" s="259"/>
      <c r="J68" s="246"/>
      <c r="K68" s="237"/>
      <c r="L68" s="237"/>
      <c r="M68" s="237"/>
      <c r="N68" s="237"/>
    </row>
    <row r="69" spans="1:14" ht="12.75" customHeight="1">
      <c r="A69" s="247"/>
      <c r="B69" s="248"/>
      <c r="C69" s="241"/>
      <c r="D69" s="245"/>
      <c r="E69" s="234"/>
      <c r="F69" s="234"/>
      <c r="G69" s="234"/>
      <c r="H69" s="273"/>
      <c r="I69" s="259"/>
      <c r="J69" s="246"/>
      <c r="K69" s="237"/>
      <c r="L69" s="237"/>
      <c r="M69" s="237"/>
      <c r="N69" s="237"/>
    </row>
    <row r="70" spans="1:14" ht="12.75" customHeight="1">
      <c r="A70" s="256">
        <f>+A66+1</f>
        <v>26</v>
      </c>
      <c r="B70" s="248"/>
      <c r="C70" s="241" t="s">
        <v>8</v>
      </c>
      <c r="D70" s="245" t="str">
        <f>"(Line "&amp;A42&amp;" Above)"</f>
        <v>(Line 14 Above)</v>
      </c>
      <c r="E70" s="234">
        <f>+E42</f>
        <v>10204475</v>
      </c>
      <c r="F70" s="234">
        <f>+F42</f>
        <v>9870172</v>
      </c>
      <c r="G70" s="502">
        <f>IF(F70="",0,AVERAGE(E70:F70))</f>
        <v>10037323.5</v>
      </c>
      <c r="H70" s="273"/>
      <c r="I70" s="259"/>
      <c r="J70" s="246"/>
      <c r="K70" s="237"/>
      <c r="L70" s="237"/>
      <c r="M70" s="237"/>
      <c r="N70" s="237"/>
    </row>
    <row r="71" spans="1:14" ht="12.75" customHeight="1">
      <c r="A71" s="256"/>
      <c r="B71" s="248"/>
      <c r="C71" s="241"/>
      <c r="D71" s="245"/>
      <c r="E71" s="234"/>
      <c r="F71" s="234"/>
      <c r="G71" s="502"/>
      <c r="H71" s="273"/>
      <c r="I71" s="259"/>
      <c r="J71" s="246"/>
      <c r="K71" s="237"/>
      <c r="L71" s="237"/>
      <c r="M71" s="237"/>
      <c r="N71" s="237"/>
    </row>
    <row r="72" spans="1:14" ht="12.75" customHeight="1">
      <c r="A72" s="256">
        <f>+A70+1</f>
        <v>27</v>
      </c>
      <c r="B72" s="248"/>
      <c r="C72" s="241" t="s">
        <v>469</v>
      </c>
      <c r="D72" s="245" t="str">
        <f>"(Line "&amp;A64&amp;" Above)"</f>
        <v>(Line 24 Above)</v>
      </c>
      <c r="E72" s="503">
        <f>+E64</f>
        <v>0</v>
      </c>
      <c r="F72" s="503">
        <f>+F64</f>
        <v>0</v>
      </c>
      <c r="G72" s="502">
        <f>IF(F72="",0,AVERAGE(E72:F72))</f>
        <v>0</v>
      </c>
      <c r="H72" s="273"/>
      <c r="I72" s="259"/>
      <c r="J72" s="246"/>
      <c r="K72" s="237"/>
      <c r="L72" s="237"/>
      <c r="M72" s="237"/>
      <c r="N72" s="237"/>
    </row>
    <row r="73" spans="1:14" ht="12.75" customHeight="1">
      <c r="A73" s="256"/>
      <c r="B73" s="248"/>
      <c r="C73" s="241"/>
      <c r="D73" s="245"/>
      <c r="E73" s="503"/>
      <c r="F73" s="503"/>
      <c r="G73" s="257"/>
      <c r="H73" s="273"/>
      <c r="I73" s="259"/>
      <c r="J73" s="246"/>
      <c r="K73" s="237"/>
      <c r="L73" s="237"/>
      <c r="M73" s="237"/>
      <c r="N73" s="237"/>
    </row>
    <row r="74" spans="1:14" ht="12.75" customHeight="1">
      <c r="A74" s="256">
        <f>+A72+1</f>
        <v>28</v>
      </c>
      <c r="B74" s="248"/>
      <c r="C74" s="241" t="s">
        <v>468</v>
      </c>
      <c r="D74" s="245" t="str">
        <f>"(Line "&amp;A70&amp;" - Line  "&amp;A72&amp;")"</f>
        <v>(Line 26 - Line  27)</v>
      </c>
      <c r="E74" s="298">
        <f>+E70-E72</f>
        <v>10204475</v>
      </c>
      <c r="F74" s="298">
        <f>+F70-F72</f>
        <v>9870172</v>
      </c>
      <c r="G74" s="893">
        <f>+G70-G72</f>
        <v>10037323.5</v>
      </c>
      <c r="H74" s="273"/>
      <c r="I74" s="259"/>
      <c r="J74" s="246"/>
      <c r="K74" s="237"/>
      <c r="L74" s="237"/>
      <c r="M74" s="237"/>
      <c r="N74" s="237"/>
    </row>
    <row r="75" spans="1:14" ht="12.75" customHeight="1">
      <c r="A75" s="256"/>
      <c r="B75" s="248"/>
      <c r="C75" s="241"/>
      <c r="D75" s="245"/>
      <c r="E75" s="503"/>
      <c r="F75" s="503"/>
      <c r="G75" s="257"/>
      <c r="H75" s="273"/>
      <c r="I75" s="259"/>
      <c r="J75" s="246"/>
      <c r="K75" s="237"/>
      <c r="L75" s="237"/>
      <c r="M75" s="237"/>
      <c r="N75" s="237"/>
    </row>
    <row r="76" spans="1:14" ht="12.75" customHeight="1">
      <c r="A76" s="275" t="s">
        <v>544</v>
      </c>
      <c r="B76" s="248"/>
      <c r="C76" s="240"/>
      <c r="D76" s="246"/>
      <c r="E76" s="240"/>
      <c r="F76" s="240"/>
      <c r="G76" s="257"/>
      <c r="H76" s="273"/>
      <c r="I76" s="259"/>
      <c r="J76" s="246"/>
      <c r="K76" s="237"/>
      <c r="L76" s="237"/>
      <c r="M76" s="237"/>
      <c r="N76" s="237"/>
    </row>
    <row r="77" spans="1:14" ht="12.75" customHeight="1">
      <c r="A77" s="256"/>
      <c r="B77" s="236"/>
      <c r="D77" s="246"/>
      <c r="E77" s="246"/>
      <c r="F77" s="246"/>
      <c r="G77" s="257"/>
      <c r="H77" s="273"/>
      <c r="I77" s="259"/>
      <c r="J77" s="246"/>
      <c r="K77" s="237"/>
      <c r="L77" s="237"/>
      <c r="M77" s="237"/>
      <c r="N77" s="237"/>
    </row>
    <row r="78" spans="1:14" ht="12.75" customHeight="1">
      <c r="A78" s="256">
        <f>+A74+1</f>
        <v>29</v>
      </c>
      <c r="B78" s="251"/>
      <c r="C78" s="275" t="s">
        <v>544</v>
      </c>
      <c r="D78" s="245" t="s">
        <v>254</v>
      </c>
      <c r="E78" s="321">
        <v>246973.16</v>
      </c>
      <c r="F78" s="321">
        <v>246973</v>
      </c>
      <c r="G78" s="502">
        <f>IF(F78="",0,AVERAGE(E78:F78))</f>
        <v>246973.08000000002</v>
      </c>
      <c r="H78" s="273"/>
      <c r="I78" s="259"/>
      <c r="J78" s="246"/>
      <c r="K78" s="237"/>
      <c r="L78" s="237"/>
      <c r="M78" s="237"/>
      <c r="N78" s="237"/>
    </row>
    <row r="79" spans="1:14" ht="12.75" customHeight="1">
      <c r="A79" s="235"/>
      <c r="B79" s="251"/>
      <c r="C79" s="251"/>
      <c r="D79" s="251"/>
      <c r="E79" s="251"/>
      <c r="F79" s="251"/>
      <c r="G79" s="257"/>
      <c r="H79" s="273"/>
      <c r="I79" s="259"/>
      <c r="J79" s="246"/>
      <c r="K79" s="237"/>
      <c r="L79" s="237"/>
      <c r="M79" s="237"/>
      <c r="N79" s="237"/>
    </row>
    <row r="80" spans="1:14" ht="12.75" customHeight="1">
      <c r="A80" s="256">
        <f>+A78+1</f>
        <v>30</v>
      </c>
      <c r="B80" s="236"/>
      <c r="C80" s="275" t="s">
        <v>252</v>
      </c>
      <c r="D80" s="245" t="s">
        <v>816</v>
      </c>
      <c r="E80" s="321">
        <v>0</v>
      </c>
      <c r="F80" s="321">
        <v>0</v>
      </c>
      <c r="G80" s="502">
        <f>IF(F80="",0,AVERAGE(E80:F80))</f>
        <v>0</v>
      </c>
      <c r="H80" s="273"/>
      <c r="I80" s="259"/>
      <c r="J80" s="246"/>
      <c r="K80" s="237"/>
      <c r="L80" s="237"/>
      <c r="M80" s="237"/>
      <c r="N80" s="237"/>
    </row>
    <row r="81" spans="1:14" ht="12.75" customHeight="1">
      <c r="A81"/>
      <c r="B81"/>
      <c r="C81"/>
      <c r="D81"/>
      <c r="E81"/>
      <c r="F81"/>
      <c r="G81"/>
      <c r="H81"/>
      <c r="I81"/>
      <c r="J81"/>
      <c r="K81"/>
      <c r="L81" s="237"/>
      <c r="M81" s="237"/>
      <c r="N81" s="237"/>
    </row>
    <row r="82" spans="1:14" ht="12.75" customHeight="1">
      <c r="A82" s="275" t="s">
        <v>82</v>
      </c>
      <c r="B82"/>
      <c r="C82" s="801"/>
      <c r="D82"/>
      <c r="E82"/>
      <c r="F82"/>
      <c r="G82"/>
      <c r="H82"/>
      <c r="I82"/>
      <c r="J82"/>
      <c r="K82"/>
      <c r="L82" s="237"/>
      <c r="M82" s="237"/>
      <c r="N82" s="237"/>
    </row>
    <row r="83" spans="1:10" ht="12.75">
      <c r="A83" s="239"/>
      <c r="B83" s="251"/>
      <c r="C83" s="894" t="s">
        <v>235</v>
      </c>
      <c r="D83" s="251"/>
      <c r="E83" s="251"/>
      <c r="F83" s="251"/>
      <c r="G83" s="251"/>
      <c r="H83" s="251"/>
      <c r="J83" s="251"/>
    </row>
    <row r="84" spans="1:10" ht="12.75">
      <c r="A84" s="256">
        <f>+A80+1</f>
        <v>31</v>
      </c>
      <c r="B84" s="251"/>
      <c r="C84" s="894"/>
      <c r="D84" s="251"/>
      <c r="E84" s="321"/>
      <c r="F84" s="321"/>
      <c r="G84" s="502">
        <f>IF(F84="",0,AVERAGE(E84:F84))</f>
        <v>0</v>
      </c>
      <c r="H84" s="251"/>
      <c r="J84" s="251"/>
    </row>
    <row r="85" spans="1:10" ht="12.75">
      <c r="A85" s="256">
        <f>+A84+1</f>
        <v>32</v>
      </c>
      <c r="B85" s="251"/>
      <c r="C85" s="894"/>
      <c r="D85" s="251"/>
      <c r="E85" s="321"/>
      <c r="F85" s="321"/>
      <c r="G85" s="502">
        <f>IF(F85="",0,AVERAGE(E85:F85))</f>
        <v>0</v>
      </c>
      <c r="H85" s="251"/>
      <c r="J85" s="251"/>
    </row>
    <row r="86" spans="1:10" ht="12.75">
      <c r="A86" s="256">
        <f>+A85+1</f>
        <v>33</v>
      </c>
      <c r="B86" s="251"/>
      <c r="C86" s="894"/>
      <c r="D86" s="251"/>
      <c r="E86" s="321"/>
      <c r="F86" s="321"/>
      <c r="G86" s="502">
        <f>IF(F86="",0,AVERAGE(E86:F86))</f>
        <v>0</v>
      </c>
      <c r="H86" s="251"/>
      <c r="J86" s="251"/>
    </row>
    <row r="87" spans="1:10" ht="12.75">
      <c r="A87" s="256">
        <f>+A86+1</f>
        <v>34</v>
      </c>
      <c r="B87" s="251"/>
      <c r="C87" s="894"/>
      <c r="D87" s="251"/>
      <c r="E87" s="321"/>
      <c r="F87" s="321"/>
      <c r="G87" s="502">
        <f>IF(F87="",0,AVERAGE(E87:F87))</f>
        <v>0</v>
      </c>
      <c r="H87" s="251"/>
      <c r="J87" s="251"/>
    </row>
    <row r="88" spans="1:10" ht="12.75">
      <c r="A88" s="256">
        <f>+A87+1</f>
        <v>35</v>
      </c>
      <c r="B88" s="251"/>
      <c r="C88" s="251"/>
      <c r="D88" s="251"/>
      <c r="E88" s="593"/>
      <c r="F88" s="593"/>
      <c r="G88" s="502">
        <f>IF(F88="",0,AVERAGE(E88:F88))</f>
        <v>0</v>
      </c>
      <c r="H88" s="251"/>
      <c r="J88" s="251"/>
    </row>
    <row r="89" spans="1:10" ht="12.75">
      <c r="A89" s="256">
        <f>+A88+1</f>
        <v>36</v>
      </c>
      <c r="B89" s="251"/>
      <c r="C89" s="251" t="s">
        <v>445</v>
      </c>
      <c r="D89" s="251"/>
      <c r="E89" s="592">
        <f>SUM(E84:E88)</f>
        <v>0</v>
      </c>
      <c r="F89" s="592">
        <f>SUM(F84:F88)</f>
        <v>0</v>
      </c>
      <c r="G89" s="592">
        <f>SUM(G84:G88)</f>
        <v>0</v>
      </c>
      <c r="H89" s="251"/>
      <c r="J89" s="251"/>
    </row>
    <row r="90" spans="1:10" ht="12.75">
      <c r="A90" s="256"/>
      <c r="B90" s="251"/>
      <c r="C90" s="251"/>
      <c r="D90" s="251"/>
      <c r="E90" s="251"/>
      <c r="F90" s="251"/>
      <c r="G90" s="251"/>
      <c r="H90" s="251"/>
      <c r="J90" s="251"/>
    </row>
    <row r="91" spans="1:10" ht="12.75">
      <c r="A91" s="256" t="s">
        <v>817</v>
      </c>
      <c r="B91" s="251" t="s">
        <v>818</v>
      </c>
      <c r="C91" s="251"/>
      <c r="D91" s="251"/>
      <c r="E91" s="251"/>
      <c r="F91" s="251"/>
      <c r="G91" s="251"/>
      <c r="H91" s="251"/>
      <c r="J91" s="251"/>
    </row>
    <row r="92" spans="1:10" ht="12.75">
      <c r="A92" s="256"/>
      <c r="B92" s="251"/>
      <c r="C92" s="251"/>
      <c r="D92" s="251"/>
      <c r="E92" s="251"/>
      <c r="F92" s="251"/>
      <c r="G92" s="251"/>
      <c r="H92" s="251"/>
      <c r="J92" s="251"/>
    </row>
    <row r="93" spans="1:10" ht="12.75">
      <c r="A93" s="1071" t="s">
        <v>59</v>
      </c>
      <c r="B93" s="251"/>
      <c r="C93" s="251"/>
      <c r="D93" s="251"/>
      <c r="E93" s="251"/>
      <c r="F93" s="251"/>
      <c r="G93" s="251"/>
      <c r="H93" s="251"/>
      <c r="J93" s="251"/>
    </row>
  </sheetData>
  <sheetProtection/>
  <mergeCells count="7">
    <mergeCell ref="G7:G8"/>
    <mergeCell ref="A2:G2"/>
    <mergeCell ref="A1:G1"/>
    <mergeCell ref="A3:G3"/>
    <mergeCell ref="A4:G4"/>
    <mergeCell ref="E7:E8"/>
    <mergeCell ref="F7:F8"/>
  </mergeCells>
  <printOptions/>
  <pageMargins left="0.26" right="0.5" top="1" bottom="0.83" header="0.75" footer="0.5"/>
  <pageSetup horizontalDpi="600" verticalDpi="600" orientation="portrait" scale="50"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SheetLayoutView="100" zoomScalePageLayoutView="0" workbookViewId="0" topLeftCell="A1">
      <selection activeCell="A1" sqref="A1:I1"/>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19.8515625" style="165" customWidth="1"/>
    <col min="6" max="6" width="1.7109375" style="165" customWidth="1"/>
    <col min="7" max="7" width="19.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1" t="s">
        <v>282</v>
      </c>
      <c r="B1" s="1141"/>
      <c r="C1" s="1141"/>
      <c r="D1" s="1141"/>
      <c r="E1" s="1141"/>
      <c r="F1" s="1141"/>
      <c r="G1" s="1141"/>
      <c r="H1" s="1141"/>
      <c r="I1" s="1141"/>
      <c r="J1" s="175"/>
      <c r="K1" s="175"/>
    </row>
    <row r="2" spans="1:11" ht="15">
      <c r="A2" s="1140" t="str">
        <f>"Cost of Service Formula Rate Using "&amp;'KGPCo Historic TCOS'!O1&amp;" FF1 Balances"</f>
        <v>Cost of Service Formula Rate Using 2011 FF1 Balances</v>
      </c>
      <c r="B2" s="1140"/>
      <c r="C2" s="1140"/>
      <c r="D2" s="1140"/>
      <c r="E2" s="1140"/>
      <c r="F2" s="1140"/>
      <c r="G2" s="1140"/>
      <c r="H2" s="1140"/>
      <c r="I2" s="1140"/>
      <c r="J2" s="292"/>
      <c r="K2" s="292"/>
    </row>
    <row r="3" spans="1:11" ht="15">
      <c r="A3" s="1140" t="s">
        <v>382</v>
      </c>
      <c r="B3" s="1140"/>
      <c r="C3" s="1140"/>
      <c r="D3" s="1140"/>
      <c r="E3" s="1140"/>
      <c r="F3" s="1140"/>
      <c r="G3" s="1140"/>
      <c r="H3" s="1140"/>
      <c r="I3" s="1140"/>
      <c r="J3" s="291"/>
      <c r="K3" s="291"/>
    </row>
    <row r="4" spans="1:13" ht="15">
      <c r="A4" s="1120" t="str">
        <f>+'KGPCo WS A  - RB Support '!A4:F4</f>
        <v>KINGSPORT POWER COMPANY</v>
      </c>
      <c r="B4" s="1120"/>
      <c r="C4" s="1120"/>
      <c r="D4" s="1120"/>
      <c r="E4" s="1120"/>
      <c r="F4" s="1120"/>
      <c r="G4" s="1120"/>
      <c r="H4" s="1120"/>
      <c r="I4" s="1120"/>
      <c r="J4" s="12"/>
      <c r="K4" s="12"/>
      <c r="L4"/>
      <c r="M4"/>
    </row>
    <row r="5" spans="3:4" ht="12.75">
      <c r="C5" s="169"/>
      <c r="D5" s="169"/>
    </row>
    <row r="6" spans="3:15" ht="12.75">
      <c r="C6" s="111" t="s">
        <v>757</v>
      </c>
      <c r="D6" s="111" t="s">
        <v>758</v>
      </c>
      <c r="E6" s="111" t="s">
        <v>759</v>
      </c>
      <c r="G6" s="111" t="s">
        <v>760</v>
      </c>
      <c r="I6" s="111" t="s">
        <v>676</v>
      </c>
      <c r="J6" s="111"/>
      <c r="K6" s="111"/>
      <c r="L6" s="111"/>
      <c r="M6"/>
      <c r="N6"/>
      <c r="O6"/>
    </row>
    <row r="7" spans="1:15" ht="12.75">
      <c r="A7" s="280"/>
      <c r="I7" s="117"/>
      <c r="J7"/>
      <c r="K7"/>
      <c r="L7"/>
      <c r="M7"/>
      <c r="N7"/>
      <c r="O7"/>
    </row>
    <row r="8" spans="1:15" ht="12.75" customHeight="1">
      <c r="A8" s="115" t="s">
        <v>764</v>
      </c>
      <c r="C8" s="170"/>
      <c r="D8" s="170"/>
      <c r="E8" s="1119" t="str">
        <f>"Balance @ December 31, "&amp;'KGPCo Historic TCOS'!O1&amp;""</f>
        <v>Balance @ December 31, 2011</v>
      </c>
      <c r="F8" s="510"/>
      <c r="G8" s="1119" t="str">
        <f>"Balance @ December 31, "&amp;'KGPCo Historic TCOS'!O1-1&amp;""</f>
        <v>Balance @ December 31, 2010</v>
      </c>
      <c r="H8" s="510"/>
      <c r="I8" s="1138" t="str">
        <f>"Average Balance for "&amp;'KGPCo Historic TCOS'!O1&amp;""</f>
        <v>Average Balance for 2011</v>
      </c>
      <c r="J8"/>
      <c r="K8"/>
      <c r="L8"/>
      <c r="M8"/>
      <c r="N8"/>
      <c r="O8"/>
    </row>
    <row r="9" spans="1:15" ht="12.75">
      <c r="A9" s="115" t="s">
        <v>700</v>
      </c>
      <c r="B9" s="114"/>
      <c r="C9" s="115" t="s">
        <v>762</v>
      </c>
      <c r="D9" s="115" t="s">
        <v>2</v>
      </c>
      <c r="E9" s="1139"/>
      <c r="F9" s="261"/>
      <c r="G9" s="1139"/>
      <c r="H9" s="751"/>
      <c r="I9" s="1139"/>
      <c r="J9"/>
      <c r="K9"/>
      <c r="L9"/>
      <c r="M9"/>
      <c r="N9"/>
      <c r="O9"/>
    </row>
    <row r="10" spans="1:7" ht="12.75">
      <c r="A10" s="280"/>
      <c r="C10" s="169"/>
      <c r="D10" s="169"/>
      <c r="G10" s="796"/>
    </row>
    <row r="11" spans="1:4" ht="12.75">
      <c r="A11" s="280"/>
      <c r="C11" s="169"/>
      <c r="D11" s="169"/>
    </row>
    <row r="12" spans="1:4" ht="12.75">
      <c r="A12" s="280"/>
      <c r="C12" s="169"/>
      <c r="D12" s="169"/>
    </row>
    <row r="13" spans="1:4" ht="15.75">
      <c r="A13" s="280">
        <v>1</v>
      </c>
      <c r="C13" s="198" t="s">
        <v>461</v>
      </c>
      <c r="D13" s="198"/>
    </row>
    <row r="14" spans="1:8" ht="15.75">
      <c r="A14" s="280"/>
      <c r="C14" s="198"/>
      <c r="D14" s="198"/>
      <c r="H14"/>
    </row>
    <row r="15" spans="1:9" ht="12.75">
      <c r="A15" s="280">
        <f>+A13+1</f>
        <v>2</v>
      </c>
      <c r="C15" s="207" t="s">
        <v>473</v>
      </c>
      <c r="D15" s="245" t="s">
        <v>475</v>
      </c>
      <c r="E15" s="323">
        <v>0</v>
      </c>
      <c r="G15" s="323">
        <v>0</v>
      </c>
      <c r="H15"/>
      <c r="I15" s="502">
        <f>IF(G15="",0,(E15+G15)/2)</f>
        <v>0</v>
      </c>
    </row>
    <row r="16" spans="1:9" ht="12.75">
      <c r="A16" s="280">
        <f>+A15+1</f>
        <v>3</v>
      </c>
      <c r="C16" s="207" t="s">
        <v>477</v>
      </c>
      <c r="D16" s="280" t="s">
        <v>816</v>
      </c>
      <c r="E16" s="323">
        <v>0</v>
      </c>
      <c r="G16" s="323">
        <v>0</v>
      </c>
      <c r="H16"/>
      <c r="I16" s="502">
        <f>IF(G16="",0,(E16+G16)/2)</f>
        <v>0</v>
      </c>
    </row>
    <row r="17" spans="1:9" ht="15">
      <c r="A17" s="280">
        <f>+A16+1</f>
        <v>4</v>
      </c>
      <c r="C17" s="207" t="s">
        <v>478</v>
      </c>
      <c r="D17" s="280" t="s">
        <v>816</v>
      </c>
      <c r="E17" s="512">
        <v>0</v>
      </c>
      <c r="G17" s="512">
        <v>0</v>
      </c>
      <c r="I17" s="671">
        <f>IF(G17="",0,(E17+G17)/2)</f>
        <v>0</v>
      </c>
    </row>
    <row r="18" spans="1:9" ht="12.75">
      <c r="A18" s="280">
        <f>+A17+1</f>
        <v>5</v>
      </c>
      <c r="C18" s="207" t="s">
        <v>474</v>
      </c>
      <c r="D18" s="513" t="str">
        <f>"Ln "&amp;A15&amp;" - ln "&amp;A16&amp;" - ln "&amp;A17&amp;""</f>
        <v>Ln 2 - ln 3 - ln 4</v>
      </c>
      <c r="E18" s="155">
        <f>+E15-E16-E17</f>
        <v>0</v>
      </c>
      <c r="G18" s="155">
        <f>+G15-G16-G17</f>
        <v>0</v>
      </c>
      <c r="I18" s="502">
        <f>+I15-I16-I17</f>
        <v>0</v>
      </c>
    </row>
    <row r="19" spans="1:4" ht="12.75">
      <c r="A19" s="280"/>
      <c r="C19" s="207"/>
      <c r="D19" s="207"/>
    </row>
    <row r="20" spans="1:4" ht="12.75">
      <c r="A20" s="280"/>
      <c r="C20" s="207"/>
      <c r="D20" s="207"/>
    </row>
    <row r="21" spans="1:4" ht="15.75">
      <c r="A21" s="280">
        <f>+A18+1</f>
        <v>6</v>
      </c>
      <c r="C21" s="198" t="s">
        <v>462</v>
      </c>
      <c r="D21" s="207"/>
    </row>
    <row r="22" spans="1:4" ht="12.75">
      <c r="A22" s="280"/>
      <c r="C22" s="207"/>
      <c r="D22" s="207"/>
    </row>
    <row r="23" spans="1:9" ht="12.75">
      <c r="A23" s="280">
        <f>+A21+1</f>
        <v>7</v>
      </c>
      <c r="C23" s="207" t="s">
        <v>473</v>
      </c>
      <c r="D23" s="245" t="s">
        <v>339</v>
      </c>
      <c r="E23" s="322">
        <v>15192403</v>
      </c>
      <c r="G23" s="322">
        <v>12463402.6</v>
      </c>
      <c r="H23"/>
      <c r="I23" s="502">
        <f>IF(G23="",0,(E23+G23)/2)</f>
        <v>13827902.8</v>
      </c>
    </row>
    <row r="24" spans="1:9" ht="12.75">
      <c r="A24" s="280">
        <f>+A23+1</f>
        <v>8</v>
      </c>
      <c r="C24" s="207" t="s">
        <v>477</v>
      </c>
      <c r="D24" s="280" t="s">
        <v>816</v>
      </c>
      <c r="E24" s="322">
        <v>0</v>
      </c>
      <c r="G24" s="322">
        <v>0</v>
      </c>
      <c r="H24"/>
      <c r="I24" s="502">
        <f>IF(G24="",0,(E24+G24)/2)</f>
        <v>0</v>
      </c>
    </row>
    <row r="25" spans="1:9" ht="15">
      <c r="A25" s="280">
        <f>+A24+1</f>
        <v>9</v>
      </c>
      <c r="C25" s="207" t="s">
        <v>478</v>
      </c>
      <c r="D25" s="280" t="s">
        <v>816</v>
      </c>
      <c r="E25" s="512">
        <v>12607785</v>
      </c>
      <c r="G25" s="512">
        <v>10438619.15</v>
      </c>
      <c r="I25" s="671">
        <f>IF(G25="",0,(E25+G25)/2)</f>
        <v>11523202.075</v>
      </c>
    </row>
    <row r="26" spans="1:9" ht="12.75">
      <c r="A26" s="280">
        <f>+A25+1</f>
        <v>10</v>
      </c>
      <c r="C26" s="207" t="s">
        <v>474</v>
      </c>
      <c r="D26" s="513" t="str">
        <f>"Ln "&amp;A23&amp;" - ln "&amp;A24&amp;" - ln "&amp;A25&amp;""</f>
        <v>Ln 7 - ln 8 - ln 9</v>
      </c>
      <c r="E26" s="155">
        <f>+E23-E24-E25</f>
        <v>2584618</v>
      </c>
      <c r="G26" s="155">
        <f>+G23-G24-G25</f>
        <v>2024783.4499999993</v>
      </c>
      <c r="I26" s="502">
        <f>+I23-I24-I25</f>
        <v>2304700.7250000015</v>
      </c>
    </row>
    <row r="27" spans="1:4" ht="12.75">
      <c r="A27" s="280"/>
      <c r="C27" s="207"/>
      <c r="D27" s="207"/>
    </row>
    <row r="28" spans="1:7" ht="12.75">
      <c r="A28" s="280"/>
      <c r="C28" s="207"/>
      <c r="D28" s="207"/>
      <c r="E28" s="508"/>
      <c r="G28" s="508"/>
    </row>
    <row r="29" spans="1:4" ht="15.75">
      <c r="A29" s="280">
        <f>+A26+1</f>
        <v>11</v>
      </c>
      <c r="C29" s="198" t="s">
        <v>463</v>
      </c>
      <c r="D29" s="207"/>
    </row>
    <row r="30" spans="1:4" ht="15.75">
      <c r="A30" s="280"/>
      <c r="C30" s="198"/>
      <c r="D30" s="207"/>
    </row>
    <row r="31" spans="1:9" ht="12.75">
      <c r="A31" s="280">
        <f>+A29+1</f>
        <v>12</v>
      </c>
      <c r="C31" s="207" t="s">
        <v>473</v>
      </c>
      <c r="D31" s="245" t="s">
        <v>476</v>
      </c>
      <c r="E31" s="322">
        <v>1803691</v>
      </c>
      <c r="G31" s="322">
        <v>486620.16</v>
      </c>
      <c r="H31"/>
      <c r="I31" s="502">
        <f>IF(G31="",0,(E31+G31)/2)</f>
        <v>1145155.58</v>
      </c>
    </row>
    <row r="32" spans="1:9" ht="12.75">
      <c r="A32" s="280">
        <f>+A31+1</f>
        <v>13</v>
      </c>
      <c r="C32" s="207" t="s">
        <v>477</v>
      </c>
      <c r="D32" s="280" t="s">
        <v>816</v>
      </c>
      <c r="E32" s="322">
        <v>0</v>
      </c>
      <c r="G32" s="322">
        <v>0</v>
      </c>
      <c r="H32"/>
      <c r="I32" s="502">
        <f>IF(G32="",0,(E32+G32)/2)</f>
        <v>0</v>
      </c>
    </row>
    <row r="33" spans="1:9" ht="15">
      <c r="A33" s="280">
        <f>+A32+1</f>
        <v>14</v>
      </c>
      <c r="C33" s="207" t="s">
        <v>478</v>
      </c>
      <c r="D33" s="280" t="s">
        <v>816</v>
      </c>
      <c r="E33" s="512">
        <v>1556207</v>
      </c>
      <c r="G33" s="512">
        <v>330890.18</v>
      </c>
      <c r="I33" s="671">
        <f>IF(G33="",0,(E33+G33)/2)</f>
        <v>943548.59</v>
      </c>
    </row>
    <row r="34" spans="1:9" ht="12.75">
      <c r="A34" s="280">
        <f>+A33+1</f>
        <v>15</v>
      </c>
      <c r="C34" s="207" t="s">
        <v>474</v>
      </c>
      <c r="D34" s="513" t="str">
        <f>"Ln "&amp;A31&amp;" - ln "&amp;A32&amp;" - ln "&amp;A33&amp;""</f>
        <v>Ln 12 - ln 13 - ln 14</v>
      </c>
      <c r="E34" s="155">
        <f>+E31-E32-E33</f>
        <v>247484</v>
      </c>
      <c r="G34" s="155">
        <f>+G31-G32-G33</f>
        <v>155729.97999999998</v>
      </c>
      <c r="I34" s="502">
        <f>+I31-I32-I33</f>
        <v>201606.9900000001</v>
      </c>
    </row>
    <row r="35" spans="1:4" ht="15.75">
      <c r="A35" s="280"/>
      <c r="C35" s="198"/>
      <c r="D35" s="207"/>
    </row>
    <row r="36" spans="1:4" ht="12.75">
      <c r="A36" s="280"/>
      <c r="C36" s="207"/>
      <c r="D36" s="207"/>
    </row>
    <row r="37" spans="1:4" ht="15.75">
      <c r="A37" s="280">
        <f>+A34+1</f>
        <v>16</v>
      </c>
      <c r="C37" s="198" t="s">
        <v>464</v>
      </c>
      <c r="D37" s="207"/>
    </row>
    <row r="38" spans="1:4" ht="12.75">
      <c r="A38" s="280"/>
      <c r="C38" s="207"/>
      <c r="D38" s="207"/>
    </row>
    <row r="39" spans="1:9" ht="12.75">
      <c r="A39" s="280">
        <f>+A37+1</f>
        <v>17</v>
      </c>
      <c r="C39" s="207" t="s">
        <v>473</v>
      </c>
      <c r="D39" s="245" t="s">
        <v>466</v>
      </c>
      <c r="E39" s="322">
        <v>960179</v>
      </c>
      <c r="G39" s="322">
        <v>622764.39</v>
      </c>
      <c r="H39"/>
      <c r="I39" s="502">
        <f>IF(G39="",0,(E39+G39)/2)</f>
        <v>791471.6950000001</v>
      </c>
    </row>
    <row r="40" spans="1:9" ht="12.75">
      <c r="A40" s="280">
        <f>+A39+1</f>
        <v>18</v>
      </c>
      <c r="C40" s="207" t="s">
        <v>477</v>
      </c>
      <c r="D40" s="280" t="s">
        <v>816</v>
      </c>
      <c r="E40" s="322">
        <v>0</v>
      </c>
      <c r="G40" s="322">
        <v>0</v>
      </c>
      <c r="H40"/>
      <c r="I40" s="502">
        <f>IF(G40="",0,(E40+G40)/2)</f>
        <v>0</v>
      </c>
    </row>
    <row r="41" spans="1:9" ht="15">
      <c r="A41" s="280">
        <f>+A40+1</f>
        <v>19</v>
      </c>
      <c r="C41" s="207" t="s">
        <v>478</v>
      </c>
      <c r="D41" s="280" t="s">
        <v>816</v>
      </c>
      <c r="E41" s="512">
        <v>843387</v>
      </c>
      <c r="G41" s="512">
        <v>585040.96</v>
      </c>
      <c r="I41" s="671">
        <f>IF(G41="",0,(E41+G41)/2)</f>
        <v>714213.98</v>
      </c>
    </row>
    <row r="42" spans="1:9" ht="12.75">
      <c r="A42" s="280">
        <f>+A41+1</f>
        <v>20</v>
      </c>
      <c r="C42" s="207" t="s">
        <v>474</v>
      </c>
      <c r="D42" s="513" t="str">
        <f>"Ln "&amp;A39&amp;" - ln "&amp;A40&amp;" - ln "&amp;A41&amp;""</f>
        <v>Ln 17 - ln 18 - ln 19</v>
      </c>
      <c r="E42" s="155">
        <f>+E39-E40-E41</f>
        <v>116792</v>
      </c>
      <c r="G42" s="155">
        <f>+G39-G40-G41</f>
        <v>37723.43000000005</v>
      </c>
      <c r="I42" s="502">
        <f>+I39-I40-I41</f>
        <v>77257.71500000008</v>
      </c>
    </row>
    <row r="43" spans="1:4" ht="12.75">
      <c r="A43" s="280"/>
      <c r="C43" s="207"/>
      <c r="D43" s="207"/>
    </row>
    <row r="44" spans="1:4" ht="12.75">
      <c r="A44" s="280"/>
      <c r="C44" s="207"/>
      <c r="D44" s="207"/>
    </row>
    <row r="45" spans="1:4" ht="15.75">
      <c r="A45" s="280">
        <f>+A42+1</f>
        <v>21</v>
      </c>
      <c r="C45" s="198" t="s">
        <v>465</v>
      </c>
      <c r="D45" s="207"/>
    </row>
    <row r="46" spans="1:4" ht="12.75">
      <c r="A46" s="280"/>
      <c r="C46" s="207"/>
      <c r="D46" s="207"/>
    </row>
    <row r="47" spans="1:9" ht="12.75">
      <c r="A47" s="280">
        <f>+A45+1</f>
        <v>22</v>
      </c>
      <c r="C47" s="207" t="s">
        <v>479</v>
      </c>
      <c r="D47" s="245" t="s">
        <v>381</v>
      </c>
      <c r="E47" s="322">
        <v>107557</v>
      </c>
      <c r="G47" s="322">
        <v>160107</v>
      </c>
      <c r="H47"/>
      <c r="I47" s="502">
        <f>IF(G47="",0,(E47+G47)/2)</f>
        <v>133832</v>
      </c>
    </row>
    <row r="48" spans="1:9" ht="15">
      <c r="A48" s="280">
        <f>+A47+1</f>
        <v>23</v>
      </c>
      <c r="C48" s="207" t="s">
        <v>480</v>
      </c>
      <c r="D48" s="280" t="s">
        <v>816</v>
      </c>
      <c r="E48" s="514">
        <v>0</v>
      </c>
      <c r="G48" s="514">
        <v>0</v>
      </c>
      <c r="H48"/>
      <c r="I48" s="671">
        <f>IF(G48="",0,(E48+G48)/2)</f>
        <v>0</v>
      </c>
    </row>
    <row r="49" spans="1:9" ht="12.75">
      <c r="A49" s="280">
        <f>+A48+1</f>
        <v>24</v>
      </c>
      <c r="C49" s="207" t="s">
        <v>285</v>
      </c>
      <c r="D49" s="513" t="str">
        <f>"Ln "&amp;A47&amp;" - ln "&amp;A48&amp;""</f>
        <v>Ln 22 - ln 23</v>
      </c>
      <c r="E49" s="155">
        <f>+E47-E48</f>
        <v>107557</v>
      </c>
      <c r="G49" s="155">
        <f>+G47-G48</f>
        <v>160107</v>
      </c>
      <c r="H49"/>
      <c r="I49" s="502">
        <f>+I47-I48</f>
        <v>133832</v>
      </c>
    </row>
    <row r="50" spans="1:9" ht="12.75">
      <c r="A50" s="280">
        <f>+A49+1</f>
        <v>25</v>
      </c>
      <c r="C50" s="207" t="s">
        <v>474</v>
      </c>
      <c r="D50" s="280" t="s">
        <v>816</v>
      </c>
      <c r="E50" s="322">
        <v>22844</v>
      </c>
      <c r="G50" s="322">
        <v>34044</v>
      </c>
      <c r="H50"/>
      <c r="I50" s="502">
        <f>IF(G50="",0,(E50+G50)/2)</f>
        <v>28444</v>
      </c>
    </row>
    <row r="51" spans="1:4" ht="12.75">
      <c r="A51" s="280"/>
      <c r="C51" s="207"/>
      <c r="D51" s="207"/>
    </row>
    <row r="52" spans="1:4" ht="12.75">
      <c r="A52" s="256" t="s">
        <v>819</v>
      </c>
      <c r="B52" s="251" t="s">
        <v>820</v>
      </c>
      <c r="C52" s="207"/>
      <c r="D52" s="207"/>
    </row>
    <row r="53" spans="1:4" ht="12.75">
      <c r="A53" s="280"/>
      <c r="C53" s="207"/>
      <c r="D53" s="207"/>
    </row>
    <row r="54" spans="1:4" ht="12.75">
      <c r="A54" s="280" t="s">
        <v>821</v>
      </c>
      <c r="B54" s="171" t="s">
        <v>822</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sheetData>
  <sheetProtection/>
  <mergeCells count="7">
    <mergeCell ref="A1:I1"/>
    <mergeCell ref="A2:I2"/>
    <mergeCell ref="A3:I3"/>
    <mergeCell ref="E8:E9"/>
    <mergeCell ref="A4:I4"/>
    <mergeCell ref="G8:G9"/>
    <mergeCell ref="I8:I9"/>
  </mergeCells>
  <printOptions/>
  <pageMargins left="0.26" right="0.52" top="1" bottom="1" header="0.75" footer="0.5"/>
  <pageSetup fitToHeight="1" fitToWidth="1" horizontalDpi="600" verticalDpi="600" orientation="portrait" scale="70"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19"/>
  <sheetViews>
    <sheetView zoomScaleSheetLayoutView="85" zoomScalePageLayoutView="0" workbookViewId="0" topLeftCell="A1">
      <selection activeCell="A1" sqref="A1"/>
    </sheetView>
  </sheetViews>
  <sheetFormatPr defaultColWidth="11.421875" defaultRowHeight="12.75"/>
  <cols>
    <col min="1" max="1" width="8.140625" style="238" customWidth="1"/>
    <col min="2" max="2" width="12.00390625" style="239" customWidth="1"/>
    <col min="3" max="3" width="47.8515625" style="239" customWidth="1"/>
    <col min="4" max="4" width="30.28125" style="239" customWidth="1"/>
    <col min="5" max="5" width="19.8515625" style="251" customWidth="1"/>
    <col min="6" max="6" width="0.9921875" style="251" customWidth="1"/>
    <col min="7" max="7" width="20.8515625" style="239" customWidth="1"/>
    <col min="8" max="8" width="0.9921875" style="239" customWidth="1"/>
    <col min="9" max="9" width="19.140625" style="239" customWidth="1"/>
    <col min="10" max="10" width="16.7109375" style="239" customWidth="1"/>
    <col min="11" max="11" width="15.28125" style="239" customWidth="1"/>
    <col min="12" max="12" width="30.140625" style="239" bestFit="1" customWidth="1"/>
    <col min="13" max="14" width="13.421875" style="239" customWidth="1"/>
    <col min="15" max="15" width="13.7109375" style="239" customWidth="1"/>
    <col min="16" max="16384" width="11.421875" style="239" customWidth="1"/>
  </cols>
  <sheetData>
    <row r="1" spans="1:15" ht="15">
      <c r="A1" s="1141" t="str">
        <f>+'KGPCo WS B ADIT &amp; ITC'!A1:I1</f>
        <v>AEP East Companies</v>
      </c>
      <c r="B1" s="1141"/>
      <c r="C1" s="1141"/>
      <c r="D1" s="1141"/>
      <c r="E1" s="1141"/>
      <c r="F1" s="1141"/>
      <c r="G1" s="1141"/>
      <c r="H1" s="1141"/>
      <c r="I1" s="1141"/>
      <c r="J1" s="1141"/>
      <c r="K1" s="1141"/>
      <c r="L1" s="1141"/>
      <c r="M1" s="175"/>
      <c r="N1" s="175"/>
      <c r="O1" s="175"/>
    </row>
    <row r="2" spans="1:15" ht="15">
      <c r="A2" s="1140" t="str">
        <f>"Cost of Service Formula Rate Using "&amp;'KGPCo Historic TCOS'!O1&amp;" FF1 Balances"</f>
        <v>Cost of Service Formula Rate Using 2011 FF1 Balances</v>
      </c>
      <c r="B2" s="1140"/>
      <c r="C2" s="1140"/>
      <c r="D2" s="1140"/>
      <c r="E2" s="1140"/>
      <c r="F2" s="1140"/>
      <c r="G2" s="1140"/>
      <c r="H2" s="1140"/>
      <c r="I2" s="1140"/>
      <c r="J2" s="1140"/>
      <c r="K2" s="1140"/>
      <c r="L2" s="1140"/>
      <c r="M2" s="292"/>
      <c r="N2" s="292"/>
      <c r="O2" s="292"/>
    </row>
    <row r="3" spans="1:15" ht="15">
      <c r="A3" s="1140" t="s">
        <v>440</v>
      </c>
      <c r="B3" s="1140"/>
      <c r="C3" s="1140"/>
      <c r="D3" s="1140"/>
      <c r="E3" s="1140"/>
      <c r="F3" s="1140"/>
      <c r="G3" s="1140"/>
      <c r="H3" s="1140"/>
      <c r="I3" s="1140"/>
      <c r="J3" s="1140"/>
      <c r="K3" s="1140"/>
      <c r="L3" s="1140"/>
      <c r="M3" s="291"/>
      <c r="N3" s="291"/>
      <c r="O3" s="291"/>
    </row>
    <row r="4" spans="1:15" ht="15">
      <c r="A4" s="1120" t="str">
        <f>+'KGPCo WS A  - RB Support '!A4:F4</f>
        <v>KINGSPORT POWER COMPANY</v>
      </c>
      <c r="B4" s="1120"/>
      <c r="C4" s="1120"/>
      <c r="D4" s="1120"/>
      <c r="E4" s="1120"/>
      <c r="F4" s="1120"/>
      <c r="G4" s="1120"/>
      <c r="H4" s="1120"/>
      <c r="I4" s="1120"/>
      <c r="J4" s="1120"/>
      <c r="K4" s="1120"/>
      <c r="L4" s="1120"/>
      <c r="M4" s="12"/>
      <c r="N4" s="12"/>
      <c r="O4" s="12"/>
    </row>
    <row r="5" spans="1:15" ht="15">
      <c r="A5" s="12"/>
      <c r="B5" s="12"/>
      <c r="C5" s="12"/>
      <c r="D5" s="12"/>
      <c r="E5" s="12"/>
      <c r="F5" s="12"/>
      <c r="G5" s="12"/>
      <c r="H5" s="10"/>
      <c r="I5" s="237"/>
      <c r="J5" s="237"/>
      <c r="K5" s="237"/>
      <c r="L5" s="237"/>
      <c r="M5" s="237"/>
      <c r="N5" s="237"/>
      <c r="O5" s="237"/>
    </row>
    <row r="6" spans="1:15" ht="12.75" customHeight="1">
      <c r="A6" s="279"/>
      <c r="B6" s="279" t="s">
        <v>757</v>
      </c>
      <c r="C6" s="279" t="s">
        <v>758</v>
      </c>
      <c r="D6" s="277" t="s">
        <v>545</v>
      </c>
      <c r="E6" s="277" t="s">
        <v>760</v>
      </c>
      <c r="F6" s="279"/>
      <c r="G6" s="279" t="s">
        <v>676</v>
      </c>
      <c r="H6" s="279"/>
      <c r="I6" s="279" t="s">
        <v>677</v>
      </c>
      <c r="J6" s="279" t="s">
        <v>678</v>
      </c>
      <c r="K6" s="279" t="s">
        <v>683</v>
      </c>
      <c r="L6" s="279" t="s">
        <v>451</v>
      </c>
      <c r="M6" s="279"/>
      <c r="N6" s="279"/>
      <c r="O6" s="279"/>
    </row>
    <row r="7" ht="12.75">
      <c r="A7" s="235"/>
    </row>
    <row r="8" spans="1:15" ht="18">
      <c r="A8" s="276"/>
      <c r="B8" s="1121" t="s">
        <v>15</v>
      </c>
      <c r="C8" s="1121"/>
      <c r="D8" s="1121"/>
      <c r="E8" s="1121"/>
      <c r="F8" s="1121"/>
      <c r="G8" s="1121"/>
      <c r="H8" s="1121"/>
      <c r="I8" s="1121"/>
      <c r="J8" s="1121"/>
      <c r="K8" s="1121"/>
      <c r="O8" s="251"/>
    </row>
    <row r="9" spans="1:15" ht="12.75">
      <c r="A9" s="276"/>
      <c r="I9" s="135"/>
      <c r="J9" s="135"/>
      <c r="O9" s="251"/>
    </row>
    <row r="10" spans="1:15" ht="12.75" customHeight="1">
      <c r="A10" s="115" t="s">
        <v>764</v>
      </c>
      <c r="B10" s="241"/>
      <c r="C10" s="252"/>
      <c r="D10" s="620"/>
      <c r="E10" s="1123" t="str">
        <f>"Balance @ December 31, "&amp;'KGPCo Historic TCOS'!O1&amp;""</f>
        <v>Balance @ December 31, 2011</v>
      </c>
      <c r="F10" s="620"/>
      <c r="G10" s="1123" t="str">
        <f>"Balance @ December 31, "&amp;'KGPCo Historic TCOS'!O1-1&amp;""</f>
        <v>Balance @ December 31, 2010</v>
      </c>
      <c r="H10" s="841"/>
      <c r="I10" s="1138" t="str">
        <f>"Average Balance for "&amp;'KGPCo Historic TCOS'!O1&amp;""</f>
        <v>Average Balance for 2011</v>
      </c>
      <c r="J10" s="368"/>
      <c r="K10" s="246"/>
      <c r="L10" s="253"/>
      <c r="M10" s="246"/>
      <c r="N10" s="246"/>
      <c r="O10" s="251"/>
    </row>
    <row r="11" spans="1:14" ht="12.75">
      <c r="A11" s="115" t="s">
        <v>700</v>
      </c>
      <c r="B11" s="248"/>
      <c r="C11" s="241"/>
      <c r="D11" s="621" t="s">
        <v>2</v>
      </c>
      <c r="E11" s="1124"/>
      <c r="F11" s="622"/>
      <c r="G11" s="1124"/>
      <c r="H11" s="623"/>
      <c r="I11" s="1139"/>
      <c r="J11" s="368"/>
      <c r="K11" s="254"/>
      <c r="L11" s="255"/>
      <c r="M11" s="244"/>
      <c r="N11" s="244"/>
    </row>
    <row r="12" spans="1:14" ht="12.75">
      <c r="A12" s="248"/>
      <c r="B12" s="248"/>
      <c r="C12" s="241"/>
      <c r="D12" s="250"/>
      <c r="E12" s="240"/>
      <c r="F12" s="240"/>
      <c r="G12" s="687"/>
      <c r="H12" s="249"/>
      <c r="J12" s="135"/>
      <c r="K12" s="254"/>
      <c r="L12" s="255"/>
      <c r="M12" s="244"/>
      <c r="N12" s="244"/>
    </row>
    <row r="13" spans="1:14" ht="12.75">
      <c r="A13" s="248">
        <v>1</v>
      </c>
      <c r="B13" s="248"/>
      <c r="D13" s="207"/>
      <c r="E13" s="165"/>
      <c r="F13" s="165"/>
      <c r="G13" s="165"/>
      <c r="H13" s="165"/>
      <c r="I13" s="165"/>
      <c r="K13" s="165"/>
      <c r="L13" s="165"/>
      <c r="M13" s="244"/>
      <c r="N13" s="244"/>
    </row>
    <row r="14" spans="1:14" ht="12.75">
      <c r="A14" s="248"/>
      <c r="B14" s="248"/>
      <c r="C14" s="207"/>
      <c r="D14" s="207"/>
      <c r="E14" s="165"/>
      <c r="F14" s="165"/>
      <c r="G14" s="165"/>
      <c r="H14" s="165"/>
      <c r="I14" s="165"/>
      <c r="K14" s="165"/>
      <c r="L14" s="165"/>
      <c r="M14" s="244"/>
      <c r="N14" s="244"/>
    </row>
    <row r="15" spans="1:14" ht="12.75">
      <c r="A15" s="248">
        <f>+A13+1</f>
        <v>2</v>
      </c>
      <c r="B15" s="248"/>
      <c r="C15" s="207" t="s">
        <v>501</v>
      </c>
      <c r="D15" s="245" t="s">
        <v>318</v>
      </c>
      <c r="E15" s="322">
        <v>1059</v>
      </c>
      <c r="F15" s="154"/>
      <c r="G15" s="322">
        <v>256</v>
      </c>
      <c r="H15" s="165"/>
      <c r="I15" s="502">
        <f>IF(G15="",0,(E15+G15)/2)</f>
        <v>657.5</v>
      </c>
      <c r="J15"/>
      <c r="K15" s="502"/>
      <c r="L15" s="165"/>
      <c r="M15" s="244"/>
      <c r="N15" s="244"/>
    </row>
    <row r="16" spans="1:14" ht="12.75">
      <c r="A16" s="248"/>
      <c r="B16" s="248"/>
      <c r="C16" s="207"/>
      <c r="D16"/>
      <c r="E16"/>
      <c r="F16" s="149"/>
      <c r="G16"/>
      <c r="H16"/>
      <c r="I16" s="102"/>
      <c r="J16"/>
      <c r="K16"/>
      <c r="L16" s="165"/>
      <c r="M16" s="244"/>
      <c r="N16" s="244"/>
    </row>
    <row r="17" spans="1:14" ht="12.75">
      <c r="A17" s="248">
        <f>+A15+1</f>
        <v>3</v>
      </c>
      <c r="B17" s="248"/>
      <c r="C17" s="207" t="s">
        <v>502</v>
      </c>
      <c r="D17" s="245" t="s">
        <v>319</v>
      </c>
      <c r="E17" s="322">
        <v>110</v>
      </c>
      <c r="F17" s="240"/>
      <c r="G17" s="322">
        <v>347</v>
      </c>
      <c r="H17" s="249"/>
      <c r="I17" s="502">
        <f>IF(G17="",0,(E17+G17)/2)</f>
        <v>228.5</v>
      </c>
      <c r="J17" s="135"/>
      <c r="K17" s="254"/>
      <c r="L17" s="255"/>
      <c r="M17" s="244"/>
      <c r="N17" s="244"/>
    </row>
    <row r="18" spans="1:14" ht="12.75">
      <c r="A18" s="248"/>
      <c r="B18" s="248"/>
      <c r="C18" s="207"/>
      <c r="D18" s="245"/>
      <c r="E18"/>
      <c r="F18" s="149"/>
      <c r="G18"/>
      <c r="H18"/>
      <c r="I18"/>
      <c r="J18"/>
      <c r="K18" s="254"/>
      <c r="L18" s="255"/>
      <c r="M18" s="244"/>
      <c r="N18" s="244"/>
    </row>
    <row r="19" spans="1:14" ht="12.75">
      <c r="A19" s="248">
        <f>+A17+1</f>
        <v>4</v>
      </c>
      <c r="B19" s="248"/>
      <c r="C19" s="207" t="s">
        <v>503</v>
      </c>
      <c r="D19" s="245" t="s">
        <v>320</v>
      </c>
      <c r="E19" s="322">
        <v>0</v>
      </c>
      <c r="F19" s="240"/>
      <c r="G19" s="322">
        <v>0</v>
      </c>
      <c r="H19" s="249"/>
      <c r="I19" s="502">
        <f>IF(G19="",0,(E19+G19)/2)</f>
        <v>0</v>
      </c>
      <c r="J19" s="135"/>
      <c r="K19" s="254"/>
      <c r="L19" s="255"/>
      <c r="M19" s="244"/>
      <c r="N19" s="244"/>
    </row>
    <row r="20" spans="1:14" ht="12.75">
      <c r="A20" s="248"/>
      <c r="B20" s="248"/>
      <c r="C20" s="241"/>
      <c r="D20" s="250"/>
      <c r="E20" s="240"/>
      <c r="F20" s="240"/>
      <c r="G20" s="251"/>
      <c r="H20" s="249"/>
      <c r="I20" s="251"/>
      <c r="J20" s="135"/>
      <c r="K20" s="254"/>
      <c r="L20" s="255"/>
      <c r="M20" s="244"/>
      <c r="N20" s="244"/>
    </row>
    <row r="21" spans="1:14" ht="12.75">
      <c r="A21" s="601"/>
      <c r="B21" s="601"/>
      <c r="C21" s="602"/>
      <c r="D21" s="603"/>
      <c r="E21" s="604"/>
      <c r="F21" s="604"/>
      <c r="G21" s="605"/>
      <c r="H21" s="606"/>
      <c r="I21" s="605"/>
      <c r="J21" s="607"/>
      <c r="K21" s="608"/>
      <c r="L21" s="609"/>
      <c r="M21" s="244"/>
      <c r="N21" s="244"/>
    </row>
    <row r="22" spans="1:14" ht="18">
      <c r="A22" s="248"/>
      <c r="B22" s="1121" t="s">
        <v>513</v>
      </c>
      <c r="C22" s="1121"/>
      <c r="D22" s="1121"/>
      <c r="E22" s="1121"/>
      <c r="F22" s="1121"/>
      <c r="G22" s="1121"/>
      <c r="H22" s="1121"/>
      <c r="I22" s="1121"/>
      <c r="J22" s="1121"/>
      <c r="K22" s="1121"/>
      <c r="L22" s="255"/>
      <c r="M22" s="244"/>
      <c r="N22" s="244"/>
    </row>
    <row r="23" spans="1:14" ht="12.75" customHeight="1">
      <c r="A23" s="248"/>
      <c r="B23" s="523"/>
      <c r="C23" s="241"/>
      <c r="D23" s="154"/>
      <c r="E23" s="113"/>
      <c r="F23" s="239"/>
      <c r="G23" s="113" t="s">
        <v>679</v>
      </c>
      <c r="I23" s="111" t="s">
        <v>710</v>
      </c>
      <c r="J23" s="111" t="s">
        <v>710</v>
      </c>
      <c r="K23" s="111" t="s">
        <v>774</v>
      </c>
      <c r="L23" s="255"/>
      <c r="M23" s="244"/>
      <c r="N23" s="244"/>
    </row>
    <row r="24" spans="1:14" ht="12.75" customHeight="1">
      <c r="A24" s="248"/>
      <c r="B24" s="523"/>
      <c r="C24" s="241"/>
      <c r="D24" s="519" t="s">
        <v>452</v>
      </c>
      <c r="E24" s="111" t="s">
        <v>509</v>
      </c>
      <c r="F24" s="239"/>
      <c r="G24" s="111" t="s">
        <v>710</v>
      </c>
      <c r="I24" s="111" t="s">
        <v>481</v>
      </c>
      <c r="J24" s="111" t="s">
        <v>756</v>
      </c>
      <c r="K24" s="111" t="s">
        <v>775</v>
      </c>
      <c r="L24" s="255"/>
      <c r="M24" s="244"/>
      <c r="N24" s="244"/>
    </row>
    <row r="25" spans="1:14" ht="12.75" customHeight="1">
      <c r="A25" s="248">
        <f>+A19+1</f>
        <v>5</v>
      </c>
      <c r="B25" s="523"/>
      <c r="C25" s="241"/>
      <c r="D25" s="116" t="s">
        <v>680</v>
      </c>
      <c r="E25" s="116" t="s">
        <v>453</v>
      </c>
      <c r="F25" s="239"/>
      <c r="G25" s="116" t="s">
        <v>482</v>
      </c>
      <c r="I25" s="116" t="s">
        <v>482</v>
      </c>
      <c r="J25" s="116" t="s">
        <v>482</v>
      </c>
      <c r="K25" s="116" t="s">
        <v>483</v>
      </c>
      <c r="L25" s="255"/>
      <c r="M25" s="244"/>
      <c r="N25" s="244"/>
    </row>
    <row r="26" spans="1:14" ht="12.75">
      <c r="A26" s="248"/>
      <c r="B26" s="248"/>
      <c r="C26" s="241"/>
      <c r="D26" s="250"/>
      <c r="E26" s="240"/>
      <c r="F26" s="240"/>
      <c r="G26" s="251"/>
      <c r="H26" s="249"/>
      <c r="I26" s="251"/>
      <c r="J26" s="135"/>
      <c r="K26" s="689"/>
      <c r="L26" s="255"/>
      <c r="M26" s="244"/>
      <c r="N26" s="244"/>
    </row>
    <row r="27" spans="1:14" ht="12.75">
      <c r="A27" s="248">
        <f>+A25+1</f>
        <v>6</v>
      </c>
      <c r="B27" s="248"/>
      <c r="C27" s="239" t="str">
        <f>"Totals as of December 31, "&amp;'KGPCo Historic TCOS'!O1&amp;""</f>
        <v>Totals as of December 31, 2011</v>
      </c>
      <c r="D27" s="524">
        <f>ROUND(D51,0)</f>
        <v>2103918</v>
      </c>
      <c r="E27" s="743">
        <f>ROUND(E51,0)</f>
        <v>-3449377</v>
      </c>
      <c r="F27" s="525"/>
      <c r="G27" s="524">
        <f>ROUND(G51,0)</f>
        <v>0</v>
      </c>
      <c r="H27" s="249"/>
      <c r="I27" s="524">
        <f>ROUND(I51,0)</f>
        <v>132556</v>
      </c>
      <c r="J27" s="526">
        <f>+J51</f>
        <v>5420740</v>
      </c>
      <c r="K27" s="524">
        <f>ROUND(K51,0)</f>
        <v>5553296</v>
      </c>
      <c r="L27" s="255"/>
      <c r="M27" s="244"/>
      <c r="N27" s="244"/>
    </row>
    <row r="28" spans="1:14" ht="12.75">
      <c r="A28" s="248">
        <f>+A27+1</f>
        <v>7</v>
      </c>
      <c r="B28" s="248"/>
      <c r="C28" s="239" t="str">
        <f>"Totals as of December 31, "&amp;'KGPCo Historic TCOS'!O1-1&amp;""</f>
        <v>Totals as of December 31, 2010</v>
      </c>
      <c r="D28" s="529">
        <f>IF(D73="","",D73)</f>
        <v>2242039.51</v>
      </c>
      <c r="E28" s="744">
        <f>IF(E73="","",E73)</f>
        <v>-4150058.12</v>
      </c>
      <c r="F28" s="240"/>
      <c r="G28" s="529">
        <f>IF(G73="","",G73)</f>
        <v>0</v>
      </c>
      <c r="H28" s="249"/>
      <c r="I28" s="529">
        <f>IF(I73="","",I73)</f>
        <v>2184357.64</v>
      </c>
      <c r="J28" s="529">
        <f>IF(J73="","",J73)</f>
        <v>4207739.99</v>
      </c>
      <c r="K28" s="529">
        <f>IF(K73="","",K73)</f>
        <v>6392097.630000001</v>
      </c>
      <c r="L28" s="255"/>
      <c r="M28" s="244"/>
      <c r="N28" s="244"/>
    </row>
    <row r="29" spans="1:14" ht="13.5" thickBot="1">
      <c r="A29" s="248">
        <f>+A28+1</f>
        <v>8</v>
      </c>
      <c r="B29" s="248"/>
      <c r="C29" s="304" t="s">
        <v>21</v>
      </c>
      <c r="D29" s="530">
        <f>IF(D28="",0,(D27+D28)/2)</f>
        <v>2172978.755</v>
      </c>
      <c r="E29" s="530">
        <f>IF(E28="",0,(E27+E28)/2)</f>
        <v>-3799717.56</v>
      </c>
      <c r="F29" s="531"/>
      <c r="G29" s="530">
        <f>IF(G28="",0,(G27+G28)/2)</f>
        <v>0</v>
      </c>
      <c r="H29" s="278"/>
      <c r="I29" s="530">
        <f>IF(I28="",0,(I27+I28)/2)</f>
        <v>1158456.82</v>
      </c>
      <c r="J29" s="530">
        <f>IF(J28="",0,(J27+J28)/2)</f>
        <v>4814239.995</v>
      </c>
      <c r="K29" s="530">
        <f>IF(K28="",0,(K27+K28)/2)</f>
        <v>5972696.815</v>
      </c>
      <c r="L29" s="255"/>
      <c r="M29" s="244"/>
      <c r="N29" s="244"/>
    </row>
    <row r="30" spans="1:14" ht="13.5" thickTop="1">
      <c r="A30" s="248"/>
      <c r="B30" s="248"/>
      <c r="D30" s="250"/>
      <c r="E30" s="240"/>
      <c r="F30" s="240"/>
      <c r="G30" s="251"/>
      <c r="H30" s="249"/>
      <c r="I30" s="251"/>
      <c r="J30" s="135"/>
      <c r="K30" s="254"/>
      <c r="L30" s="255"/>
      <c r="M30" s="244"/>
      <c r="N30" s="244"/>
    </row>
    <row r="31" spans="1:14" ht="12.75">
      <c r="A31" s="239"/>
      <c r="E31" s="239"/>
      <c r="F31" s="239"/>
      <c r="J31" s="135"/>
      <c r="K31" s="254"/>
      <c r="L31" s="255"/>
      <c r="M31" s="244"/>
      <c r="N31" s="244"/>
    </row>
    <row r="32" spans="1:14" ht="18">
      <c r="A32" s="248"/>
      <c r="B32" s="1122" t="str">
        <f>"Prepayments Account 165 - Balance @ 12/31/"&amp;D34&amp;""</f>
        <v>Prepayments Account 165 - Balance @ 12/31/2011</v>
      </c>
      <c r="C32" s="1125"/>
      <c r="D32" s="1125"/>
      <c r="E32" s="1125"/>
      <c r="F32" s="1125"/>
      <c r="G32" s="1125"/>
      <c r="H32" s="1125"/>
      <c r="I32" s="1125"/>
      <c r="J32" s="1125"/>
      <c r="K32" s="254"/>
      <c r="L32" s="255"/>
      <c r="M32" s="244"/>
      <c r="N32" s="244"/>
    </row>
    <row r="33" spans="1:14" ht="12.75">
      <c r="A33" s="248"/>
      <c r="B33" s="515"/>
      <c r="C33" s="517"/>
      <c r="D33" s="154"/>
      <c r="E33" s="113"/>
      <c r="F33" s="239"/>
      <c r="G33" s="113" t="s">
        <v>679</v>
      </c>
      <c r="I33" s="111" t="s">
        <v>710</v>
      </c>
      <c r="J33" s="111" t="s">
        <v>710</v>
      </c>
      <c r="K33" s="111" t="s">
        <v>774</v>
      </c>
      <c r="L33"/>
      <c r="M33" s="244"/>
      <c r="N33" s="244"/>
    </row>
    <row r="34" spans="1:14" ht="12.75">
      <c r="A34" s="248"/>
      <c r="B34" s="515"/>
      <c r="C34" s="518"/>
      <c r="D34" s="519" t="str">
        <f>""&amp;'KGPCo Historic TCOS'!O1</f>
        <v>2011</v>
      </c>
      <c r="E34" s="111" t="s">
        <v>509</v>
      </c>
      <c r="F34" s="239"/>
      <c r="G34" s="111" t="s">
        <v>710</v>
      </c>
      <c r="I34" s="111" t="s">
        <v>481</v>
      </c>
      <c r="J34" s="111" t="s">
        <v>756</v>
      </c>
      <c r="K34" s="111" t="s">
        <v>775</v>
      </c>
      <c r="L34"/>
      <c r="M34" s="244"/>
      <c r="N34" s="244"/>
    </row>
    <row r="35" spans="1:14" ht="12.75">
      <c r="A35" s="248">
        <f>+A29+1</f>
        <v>9</v>
      </c>
      <c r="B35" s="116" t="s">
        <v>682</v>
      </c>
      <c r="C35" s="116" t="s">
        <v>762</v>
      </c>
      <c r="D35" s="116" t="s">
        <v>680</v>
      </c>
      <c r="E35" s="116" t="s">
        <v>453</v>
      </c>
      <c r="F35" s="239"/>
      <c r="G35" s="116" t="s">
        <v>482</v>
      </c>
      <c r="I35" s="116" t="s">
        <v>482</v>
      </c>
      <c r="J35" s="116" t="s">
        <v>482</v>
      </c>
      <c r="K35" s="116" t="s">
        <v>483</v>
      </c>
      <c r="L35" s="116" t="s">
        <v>662</v>
      </c>
      <c r="M35" s="244"/>
      <c r="N35" s="244"/>
    </row>
    <row r="36" spans="1:14" ht="12.75">
      <c r="A36" s="248"/>
      <c r="B36" s="515"/>
      <c r="C36" s="517"/>
      <c r="D36" s="517"/>
      <c r="E36" s="517"/>
      <c r="F36" s="239"/>
      <c r="G36" s="517"/>
      <c r="I36" s="517"/>
      <c r="J36" s="517"/>
      <c r="K36" s="689"/>
      <c r="L36"/>
      <c r="M36" s="244"/>
      <c r="N36" s="244"/>
    </row>
    <row r="37" spans="1:14" ht="12.75">
      <c r="A37" s="248">
        <f>+A35+1</f>
        <v>10</v>
      </c>
      <c r="B37" s="157" t="s">
        <v>484</v>
      </c>
      <c r="C37" s="617" t="s">
        <v>485</v>
      </c>
      <c r="D37" s="322">
        <v>31453</v>
      </c>
      <c r="E37" s="340">
        <f>+D37-K37</f>
        <v>0</v>
      </c>
      <c r="F37" s="239"/>
      <c r="G37" s="436"/>
      <c r="I37" s="436">
        <f>+D37</f>
        <v>31453</v>
      </c>
      <c r="J37" s="436"/>
      <c r="K37" s="436">
        <f aca="true" t="shared" si="0" ref="K37:K49">+G37+I37+J37</f>
        <v>31453</v>
      </c>
      <c r="L37" t="s">
        <v>511</v>
      </c>
      <c r="M37" s="244"/>
      <c r="N37" s="244"/>
    </row>
    <row r="38" spans="1:14" ht="12.75">
      <c r="A38" s="248">
        <f>+A37+1</f>
        <v>11</v>
      </c>
      <c r="B38" s="1046">
        <v>165000211</v>
      </c>
      <c r="C38" s="617" t="s">
        <v>486</v>
      </c>
      <c r="D38" s="322">
        <v>1918196</v>
      </c>
      <c r="E38" s="340">
        <f>+D38-K38</f>
        <v>1918196</v>
      </c>
      <c r="F38" s="239"/>
      <c r="G38" s="436"/>
      <c r="I38" s="436">
        <v>0</v>
      </c>
      <c r="J38" s="436"/>
      <c r="K38" s="436">
        <f t="shared" si="0"/>
        <v>0</v>
      </c>
      <c r="L38" t="s">
        <v>486</v>
      </c>
      <c r="M38" s="244"/>
      <c r="N38" s="244"/>
    </row>
    <row r="39" spans="1:14" ht="12.75">
      <c r="A39" s="248">
        <f aca="true" t="shared" si="1" ref="A39:A48">+A38+1</f>
        <v>12</v>
      </c>
      <c r="B39" s="157" t="s">
        <v>505</v>
      </c>
      <c r="C39" s="617" t="s">
        <v>506</v>
      </c>
      <c r="D39" s="322">
        <v>0</v>
      </c>
      <c r="E39" s="340">
        <f>+D39-K39</f>
        <v>0</v>
      </c>
      <c r="F39" s="239"/>
      <c r="G39" s="436"/>
      <c r="I39" s="436"/>
      <c r="J39" s="436">
        <v>0</v>
      </c>
      <c r="K39" s="436">
        <f t="shared" si="0"/>
        <v>0</v>
      </c>
      <c r="L39" t="s">
        <v>510</v>
      </c>
      <c r="M39" s="244"/>
      <c r="N39" s="244"/>
    </row>
    <row r="40" spans="1:14" ht="12.75">
      <c r="A40" s="248">
        <f t="shared" si="1"/>
        <v>13</v>
      </c>
      <c r="B40" s="157" t="s">
        <v>487</v>
      </c>
      <c r="C40" s="617" t="s">
        <v>488</v>
      </c>
      <c r="D40" s="322">
        <v>0</v>
      </c>
      <c r="E40" s="340">
        <f>+D40-K40</f>
        <v>0</v>
      </c>
      <c r="F40" s="239"/>
      <c r="G40" s="436"/>
      <c r="I40" s="436"/>
      <c r="J40" s="436"/>
      <c r="K40" s="436">
        <f t="shared" si="0"/>
        <v>0</v>
      </c>
      <c r="L40"/>
      <c r="M40" s="244"/>
      <c r="N40" s="244"/>
    </row>
    <row r="41" spans="1:14" ht="12.75">
      <c r="A41" s="248">
        <f t="shared" si="1"/>
        <v>14</v>
      </c>
      <c r="B41" s="157" t="s">
        <v>489</v>
      </c>
      <c r="C41" s="617" t="s">
        <v>490</v>
      </c>
      <c r="D41" s="322">
        <v>0</v>
      </c>
      <c r="E41" s="436">
        <f>+D41-K41</f>
        <v>0</v>
      </c>
      <c r="F41" s="239"/>
      <c r="G41" s="436"/>
      <c r="I41" s="436"/>
      <c r="J41" s="436">
        <f>+D41</f>
        <v>0</v>
      </c>
      <c r="K41" s="436">
        <f t="shared" si="0"/>
        <v>0</v>
      </c>
      <c r="L41" s="149"/>
      <c r="M41" s="244"/>
      <c r="N41" s="244"/>
    </row>
    <row r="42" spans="1:14" ht="12.75">
      <c r="A42" s="248">
        <f t="shared" si="1"/>
        <v>15</v>
      </c>
      <c r="B42" s="157" t="s">
        <v>491</v>
      </c>
      <c r="C42" s="617" t="s">
        <v>492</v>
      </c>
      <c r="D42" s="322">
        <v>0</v>
      </c>
      <c r="E42" s="509">
        <f>+D42</f>
        <v>0</v>
      </c>
      <c r="F42" s="239"/>
      <c r="G42" s="509"/>
      <c r="I42" s="509"/>
      <c r="J42" s="509"/>
      <c r="K42" s="509">
        <f t="shared" si="0"/>
        <v>0</v>
      </c>
      <c r="L42" s="149"/>
      <c r="M42" s="244"/>
      <c r="N42" s="244"/>
    </row>
    <row r="43" spans="1:14" ht="12.75">
      <c r="A43" s="248">
        <f t="shared" si="1"/>
        <v>16</v>
      </c>
      <c r="B43" s="157" t="s">
        <v>493</v>
      </c>
      <c r="C43" s="617" t="s">
        <v>494</v>
      </c>
      <c r="D43" s="322">
        <v>6646</v>
      </c>
      <c r="E43" s="436">
        <f>+D43-K43</f>
        <v>6646</v>
      </c>
      <c r="F43" s="239"/>
      <c r="G43" s="436"/>
      <c r="I43" s="436"/>
      <c r="J43" s="436"/>
      <c r="K43" s="509">
        <f t="shared" si="0"/>
        <v>0</v>
      </c>
      <c r="L43" s="149" t="s">
        <v>495</v>
      </c>
      <c r="M43" s="244"/>
      <c r="N43" s="244"/>
    </row>
    <row r="44" spans="1:14" ht="12.75">
      <c r="A44" s="248">
        <f t="shared" si="1"/>
        <v>17</v>
      </c>
      <c r="B44" s="157" t="s">
        <v>496</v>
      </c>
      <c r="C44" s="617" t="s">
        <v>497</v>
      </c>
      <c r="D44" s="322">
        <v>5420740</v>
      </c>
      <c r="E44" s="436"/>
      <c r="F44" s="239"/>
      <c r="G44" s="436"/>
      <c r="I44" s="436"/>
      <c r="J44" s="436">
        <f>+D44</f>
        <v>5420740</v>
      </c>
      <c r="K44" s="509">
        <f t="shared" si="0"/>
        <v>5420740</v>
      </c>
      <c r="L44" s="102" t="s">
        <v>498</v>
      </c>
      <c r="M44" s="244"/>
      <c r="N44" s="244"/>
    </row>
    <row r="45" spans="1:14" ht="12.75">
      <c r="A45" s="248">
        <f t="shared" si="1"/>
        <v>18</v>
      </c>
      <c r="B45" s="157" t="s">
        <v>499</v>
      </c>
      <c r="C45" s="617" t="s">
        <v>500</v>
      </c>
      <c r="D45" s="322">
        <v>-5420740</v>
      </c>
      <c r="E45" s="436">
        <f>+D45</f>
        <v>-5420740</v>
      </c>
      <c r="F45" s="239"/>
      <c r="G45" s="436"/>
      <c r="I45" s="436"/>
      <c r="J45" s="436"/>
      <c r="K45" s="509">
        <f t="shared" si="0"/>
        <v>0</v>
      </c>
      <c r="L45" s="149" t="s">
        <v>893</v>
      </c>
      <c r="M45" s="244"/>
      <c r="N45" s="244"/>
    </row>
    <row r="46" spans="1:14" ht="12.75">
      <c r="A46" s="248">
        <f t="shared" si="1"/>
        <v>19</v>
      </c>
      <c r="B46" s="157" t="s">
        <v>507</v>
      </c>
      <c r="C46" s="617" t="s">
        <v>508</v>
      </c>
      <c r="D46" s="322">
        <v>0</v>
      </c>
      <c r="E46" s="436">
        <f>D46</f>
        <v>0</v>
      </c>
      <c r="F46" s="239"/>
      <c r="G46" s="436"/>
      <c r="I46" s="436"/>
      <c r="J46" s="646">
        <v>0</v>
      </c>
      <c r="K46" s="509">
        <f t="shared" si="0"/>
        <v>0</v>
      </c>
      <c r="L46" s="149" t="s">
        <v>512</v>
      </c>
      <c r="M46" s="244"/>
      <c r="N46" s="244"/>
    </row>
    <row r="47" spans="1:14" ht="12.75">
      <c r="A47" s="248">
        <f t="shared" si="1"/>
        <v>20</v>
      </c>
      <c r="B47" s="1050" t="s">
        <v>903</v>
      </c>
      <c r="C47" s="617" t="s">
        <v>363</v>
      </c>
      <c r="D47" s="322">
        <v>101103</v>
      </c>
      <c r="E47" s="436">
        <f>+D47-K47</f>
        <v>0</v>
      </c>
      <c r="F47" s="239"/>
      <c r="G47" s="436"/>
      <c r="I47" s="436">
        <f>+D47</f>
        <v>101103</v>
      </c>
      <c r="J47" s="646"/>
      <c r="K47" s="509">
        <f>+G47+I47+J47</f>
        <v>101103</v>
      </c>
      <c r="L47" s="149" t="s">
        <v>709</v>
      </c>
      <c r="M47" s="244"/>
      <c r="N47" s="244"/>
    </row>
    <row r="48" spans="1:14" ht="12.75">
      <c r="A48" s="248">
        <f t="shared" si="1"/>
        <v>21</v>
      </c>
      <c r="B48" s="1050" t="s">
        <v>904</v>
      </c>
      <c r="C48" s="617" t="s">
        <v>364</v>
      </c>
      <c r="D48" s="322">
        <v>46521</v>
      </c>
      <c r="E48" s="436">
        <f>D48</f>
        <v>46521</v>
      </c>
      <c r="F48" s="239"/>
      <c r="G48" s="436"/>
      <c r="I48" s="436"/>
      <c r="J48" s="646">
        <v>0</v>
      </c>
      <c r="K48" s="509">
        <f>+G48+I48+J48</f>
        <v>0</v>
      </c>
      <c r="L48" s="149"/>
      <c r="M48" s="244"/>
      <c r="N48" s="244"/>
    </row>
    <row r="49" spans="1:14" ht="12.75">
      <c r="A49" s="248"/>
      <c r="B49" s="157"/>
      <c r="C49" s="157"/>
      <c r="D49" s="520"/>
      <c r="E49" s="436"/>
      <c r="F49" s="239"/>
      <c r="G49" s="436"/>
      <c r="I49" s="436"/>
      <c r="J49" s="436"/>
      <c r="K49" s="509">
        <f t="shared" si="0"/>
        <v>0</v>
      </c>
      <c r="L49" s="149"/>
      <c r="M49" s="244"/>
      <c r="N49" s="244"/>
    </row>
    <row r="50" spans="1:14" ht="13.5" thickBot="1">
      <c r="A50" s="248"/>
      <c r="B50" s="157"/>
      <c r="C50" s="157"/>
      <c r="D50" s="509"/>
      <c r="E50" s="340"/>
      <c r="F50" s="239"/>
      <c r="G50" s="436"/>
      <c r="I50" s="436"/>
      <c r="J50" s="436"/>
      <c r="K50" s="436"/>
      <c r="L50"/>
      <c r="M50" s="244"/>
      <c r="N50" s="244"/>
    </row>
    <row r="51" spans="1:14" ht="12.75">
      <c r="A51" s="248"/>
      <c r="B51" s="515"/>
      <c r="C51" s="170" t="s">
        <v>454</v>
      </c>
      <c r="D51" s="521">
        <f>SUM(D37:D50)-1</f>
        <v>2103918</v>
      </c>
      <c r="E51" s="742">
        <f>SUM(E37:E50)</f>
        <v>-3449377</v>
      </c>
      <c r="F51" s="239"/>
      <c r="G51" s="521">
        <f>SUM(G37:G50)</f>
        <v>0</v>
      </c>
      <c r="I51" s="521">
        <f>SUM(I37:I50)</f>
        <v>132556</v>
      </c>
      <c r="J51" s="521">
        <f>SUM(J37:J50)</f>
        <v>5420740</v>
      </c>
      <c r="K51" s="521">
        <f>SUM(K37:K50)</f>
        <v>5553296</v>
      </c>
      <c r="L51"/>
      <c r="M51" s="244"/>
      <c r="N51" s="244"/>
    </row>
    <row r="52" spans="1:14" ht="12.75">
      <c r="A52" s="248"/>
      <c r="K52" s="522"/>
      <c r="L52"/>
      <c r="M52" s="244"/>
      <c r="N52" s="244"/>
    </row>
    <row r="53" spans="1:15" ht="12.75">
      <c r="A53" s="248"/>
      <c r="B53"/>
      <c r="C53"/>
      <c r="D53"/>
      <c r="E53"/>
      <c r="F53"/>
      <c r="G53"/>
      <c r="H53"/>
      <c r="I53"/>
      <c r="J53"/>
      <c r="K53"/>
      <c r="L53"/>
      <c r="M53"/>
      <c r="N53"/>
      <c r="O53"/>
    </row>
    <row r="54" spans="1:15" ht="18">
      <c r="A54" s="248"/>
      <c r="B54" s="1122" t="str">
        <f>"Prepayments Account 165 - Balance @ 12/31/ "&amp;D56&amp;""</f>
        <v>Prepayments Account 165 - Balance @ 12/31/ 2010</v>
      </c>
      <c r="C54" s="1122"/>
      <c r="D54" s="1122"/>
      <c r="E54" s="1122"/>
      <c r="F54" s="1122"/>
      <c r="G54" s="1122"/>
      <c r="H54" s="1122"/>
      <c r="I54" s="1122"/>
      <c r="J54" s="1122"/>
      <c r="K54" s="254"/>
      <c r="L54" s="255"/>
      <c r="M54" s="244"/>
      <c r="N54"/>
      <c r="O54"/>
    </row>
    <row r="55" spans="1:15" ht="12.75">
      <c r="A55" s="248"/>
      <c r="B55" s="792"/>
      <c r="C55" s="793"/>
      <c r="D55" s="794"/>
      <c r="E55" s="113"/>
      <c r="F55" s="239"/>
      <c r="G55" s="113" t="s">
        <v>679</v>
      </c>
      <c r="I55" s="111" t="s">
        <v>710</v>
      </c>
      <c r="J55" s="111" t="s">
        <v>710</v>
      </c>
      <c r="K55" s="111" t="s">
        <v>774</v>
      </c>
      <c r="L55"/>
      <c r="M55" s="244"/>
      <c r="N55"/>
      <c r="O55"/>
    </row>
    <row r="56" spans="1:15" ht="12.75">
      <c r="A56" s="248"/>
      <c r="B56" s="792"/>
      <c r="C56" s="795"/>
      <c r="D56" s="111" t="str">
        <f>""&amp;'KGPCo Historic TCOS'!O1-1</f>
        <v>2010</v>
      </c>
      <c r="E56" s="111" t="s">
        <v>509</v>
      </c>
      <c r="F56" s="239"/>
      <c r="G56" s="111" t="s">
        <v>710</v>
      </c>
      <c r="I56" s="111" t="s">
        <v>481</v>
      </c>
      <c r="J56" s="111" t="s">
        <v>756</v>
      </c>
      <c r="K56" s="111" t="s">
        <v>775</v>
      </c>
      <c r="L56"/>
      <c r="M56" s="244"/>
      <c r="N56"/>
      <c r="O56"/>
    </row>
    <row r="57" spans="1:15" ht="12.75">
      <c r="A57" s="248">
        <f>+A48+1</f>
        <v>22</v>
      </c>
      <c r="B57" s="116" t="s">
        <v>682</v>
      </c>
      <c r="C57" s="116" t="s">
        <v>762</v>
      </c>
      <c r="D57" s="116" t="s">
        <v>680</v>
      </c>
      <c r="E57" s="116" t="s">
        <v>453</v>
      </c>
      <c r="F57" s="239"/>
      <c r="G57" s="116" t="s">
        <v>482</v>
      </c>
      <c r="I57" s="116" t="s">
        <v>482</v>
      </c>
      <c r="J57" s="116" t="s">
        <v>482</v>
      </c>
      <c r="K57" s="116" t="s">
        <v>483</v>
      </c>
      <c r="L57" s="1011" t="s">
        <v>662</v>
      </c>
      <c r="M57" s="244"/>
      <c r="N57"/>
      <c r="O57"/>
    </row>
    <row r="58" spans="1:15" ht="12.75">
      <c r="A58" s="248"/>
      <c r="B58" s="515"/>
      <c r="C58" s="517"/>
      <c r="D58" s="517"/>
      <c r="E58" s="517"/>
      <c r="F58" s="239"/>
      <c r="G58" s="517"/>
      <c r="I58" s="517"/>
      <c r="J58" s="517"/>
      <c r="K58" s="517"/>
      <c r="L58"/>
      <c r="M58" s="244"/>
      <c r="N58"/>
      <c r="O58"/>
    </row>
    <row r="59" spans="1:15" ht="12.75">
      <c r="A59" s="248">
        <f>+A57+1</f>
        <v>23</v>
      </c>
      <c r="B59" s="157" t="s">
        <v>484</v>
      </c>
      <c r="C59" s="617" t="s">
        <v>485</v>
      </c>
      <c r="D59" s="322">
        <v>27455.55</v>
      </c>
      <c r="E59" s="340">
        <f>+D59-K59</f>
        <v>0</v>
      </c>
      <c r="F59" s="239"/>
      <c r="G59" s="436"/>
      <c r="I59" s="436">
        <f>+D59</f>
        <v>27455.55</v>
      </c>
      <c r="J59" s="436"/>
      <c r="K59" s="436">
        <f aca="true" t="shared" si="2" ref="K59:K68">+G59+I59+J59</f>
        <v>27455.55</v>
      </c>
      <c r="L59" t="s">
        <v>511</v>
      </c>
      <c r="M59" s="244"/>
      <c r="N59"/>
      <c r="O59"/>
    </row>
    <row r="60" spans="1:15" ht="12.75">
      <c r="A60" s="248">
        <f>+A59+1</f>
        <v>24</v>
      </c>
      <c r="B60" s="1046">
        <v>165000210</v>
      </c>
      <c r="C60" s="617" t="s">
        <v>486</v>
      </c>
      <c r="D60" s="322">
        <v>2056263.84</v>
      </c>
      <c r="E60" s="340">
        <f>+D60-K60</f>
        <v>0</v>
      </c>
      <c r="F60" s="239"/>
      <c r="G60" s="436"/>
      <c r="I60" s="436">
        <f>+D60</f>
        <v>2056263.84</v>
      </c>
      <c r="J60" s="436"/>
      <c r="K60" s="436">
        <f t="shared" si="2"/>
        <v>2056263.84</v>
      </c>
      <c r="L60" t="s">
        <v>486</v>
      </c>
      <c r="M60" s="244"/>
      <c r="N60"/>
      <c r="O60"/>
    </row>
    <row r="61" spans="1:15" ht="12.75">
      <c r="A61" s="248">
        <f aca="true" t="shared" si="3" ref="A61:A68">+A60+1</f>
        <v>25</v>
      </c>
      <c r="B61" s="157" t="s">
        <v>505</v>
      </c>
      <c r="C61" s="617" t="s">
        <v>506</v>
      </c>
      <c r="D61" s="322">
        <v>0</v>
      </c>
      <c r="E61" s="340">
        <f>+D61-K61</f>
        <v>0</v>
      </c>
      <c r="F61" s="239"/>
      <c r="G61" s="436"/>
      <c r="I61" s="436"/>
      <c r="J61" s="436">
        <v>0</v>
      </c>
      <c r="K61" s="436">
        <f t="shared" si="2"/>
        <v>0</v>
      </c>
      <c r="L61" t="s">
        <v>510</v>
      </c>
      <c r="M61" s="244"/>
      <c r="N61"/>
      <c r="O61"/>
    </row>
    <row r="62" spans="1:15" ht="12.75">
      <c r="A62" s="248">
        <f t="shared" si="3"/>
        <v>26</v>
      </c>
      <c r="B62" s="157" t="s">
        <v>487</v>
      </c>
      <c r="C62" s="617" t="s">
        <v>488</v>
      </c>
      <c r="D62" s="322">
        <v>0</v>
      </c>
      <c r="E62" s="340">
        <f>+D62-K62</f>
        <v>0</v>
      </c>
      <c r="F62" s="239"/>
      <c r="G62" s="436"/>
      <c r="I62" s="436"/>
      <c r="J62" s="436"/>
      <c r="K62" s="436">
        <f t="shared" si="2"/>
        <v>0</v>
      </c>
      <c r="L62"/>
      <c r="M62" s="244"/>
      <c r="N62"/>
      <c r="O62"/>
    </row>
    <row r="63" spans="1:15" ht="12.75">
      <c r="A63" s="248">
        <f t="shared" si="3"/>
        <v>27</v>
      </c>
      <c r="B63" s="157" t="s">
        <v>489</v>
      </c>
      <c r="C63" s="617" t="s">
        <v>490</v>
      </c>
      <c r="D63" s="322">
        <v>0</v>
      </c>
      <c r="E63" s="436">
        <f>+D63-K63</f>
        <v>0</v>
      </c>
      <c r="F63" s="239"/>
      <c r="G63" s="436"/>
      <c r="I63" s="436"/>
      <c r="J63" s="436">
        <f>+D63</f>
        <v>0</v>
      </c>
      <c r="K63" s="436">
        <f t="shared" si="2"/>
        <v>0</v>
      </c>
      <c r="L63" s="149"/>
      <c r="M63" s="244"/>
      <c r="N63"/>
      <c r="O63"/>
    </row>
    <row r="64" spans="1:15" ht="12.75">
      <c r="A64" s="248">
        <f t="shared" si="3"/>
        <v>28</v>
      </c>
      <c r="B64" s="157" t="s">
        <v>491</v>
      </c>
      <c r="C64" s="617" t="s">
        <v>492</v>
      </c>
      <c r="D64" s="322">
        <v>0</v>
      </c>
      <c r="E64" s="509">
        <f>+D64</f>
        <v>0</v>
      </c>
      <c r="F64" s="239"/>
      <c r="G64" s="509"/>
      <c r="I64" s="509"/>
      <c r="J64" s="509"/>
      <c r="K64" s="509">
        <f t="shared" si="2"/>
        <v>0</v>
      </c>
      <c r="L64" s="149"/>
      <c r="M64" s="244"/>
      <c r="N64"/>
      <c r="O64"/>
    </row>
    <row r="65" spans="1:15" ht="12.75">
      <c r="A65" s="248">
        <f t="shared" si="3"/>
        <v>29</v>
      </c>
      <c r="B65" s="157" t="s">
        <v>493</v>
      </c>
      <c r="C65" s="617" t="s">
        <v>494</v>
      </c>
      <c r="D65" s="322">
        <v>8430.96</v>
      </c>
      <c r="E65" s="436">
        <f>+D65-K65</f>
        <v>8430.96</v>
      </c>
      <c r="F65" s="239"/>
      <c r="G65" s="436"/>
      <c r="I65" s="436"/>
      <c r="J65" s="436"/>
      <c r="K65" s="509">
        <f t="shared" si="2"/>
        <v>0</v>
      </c>
      <c r="L65" s="149" t="s">
        <v>495</v>
      </c>
      <c r="M65" s="244"/>
      <c r="N65"/>
      <c r="O65"/>
    </row>
    <row r="66" spans="1:15" ht="12.75">
      <c r="A66" s="248">
        <f t="shared" si="3"/>
        <v>30</v>
      </c>
      <c r="B66" s="157" t="s">
        <v>496</v>
      </c>
      <c r="C66" s="617" t="s">
        <v>497</v>
      </c>
      <c r="D66" s="322">
        <v>4207739.99</v>
      </c>
      <c r="E66" s="436"/>
      <c r="F66" s="239"/>
      <c r="G66" s="436"/>
      <c r="I66" s="436"/>
      <c r="J66" s="436">
        <f>+D66</f>
        <v>4207739.99</v>
      </c>
      <c r="K66" s="509">
        <f t="shared" si="2"/>
        <v>4207739.99</v>
      </c>
      <c r="L66" s="102" t="s">
        <v>498</v>
      </c>
      <c r="M66" s="244"/>
      <c r="N66"/>
      <c r="O66"/>
    </row>
    <row r="67" spans="1:15" ht="12.75">
      <c r="A67" s="248">
        <f t="shared" si="3"/>
        <v>31</v>
      </c>
      <c r="B67" s="157" t="s">
        <v>499</v>
      </c>
      <c r="C67" s="617" t="s">
        <v>500</v>
      </c>
      <c r="D67" s="322">
        <v>-4207739.99</v>
      </c>
      <c r="E67" s="436">
        <f>+D67</f>
        <v>-4207739.99</v>
      </c>
      <c r="F67" s="239"/>
      <c r="G67" s="436"/>
      <c r="I67" s="436"/>
      <c r="J67" s="436"/>
      <c r="K67" s="509">
        <f t="shared" si="2"/>
        <v>0</v>
      </c>
      <c r="L67" s="149" t="s">
        <v>893</v>
      </c>
      <c r="M67" s="244"/>
      <c r="N67"/>
      <c r="O67"/>
    </row>
    <row r="68" spans="1:15" ht="12.75">
      <c r="A68" s="248">
        <f t="shared" si="3"/>
        <v>32</v>
      </c>
      <c r="B68" s="157" t="s">
        <v>507</v>
      </c>
      <c r="C68" s="617" t="s">
        <v>508</v>
      </c>
      <c r="D68" s="322">
        <v>0</v>
      </c>
      <c r="E68" s="436">
        <f>D68</f>
        <v>0</v>
      </c>
      <c r="F68" s="239"/>
      <c r="G68" s="436"/>
      <c r="I68" s="436"/>
      <c r="J68" s="646">
        <v>0</v>
      </c>
      <c r="K68" s="509">
        <f t="shared" si="2"/>
        <v>0</v>
      </c>
      <c r="L68" s="149" t="s">
        <v>512</v>
      </c>
      <c r="M68" s="244"/>
      <c r="N68"/>
      <c r="O68"/>
    </row>
    <row r="69" spans="1:15" ht="12.75">
      <c r="A69" s="248">
        <f>+A68+1</f>
        <v>33</v>
      </c>
      <c r="B69" s="1050" t="s">
        <v>903</v>
      </c>
      <c r="C69" s="617" t="s">
        <v>363</v>
      </c>
      <c r="D69" s="322">
        <v>100638.25</v>
      </c>
      <c r="E69" s="436">
        <f>+D69-K69</f>
        <v>0</v>
      </c>
      <c r="F69" s="239"/>
      <c r="G69" s="436"/>
      <c r="I69" s="436">
        <f>+D69</f>
        <v>100638.25</v>
      </c>
      <c r="J69" s="646"/>
      <c r="K69" s="509">
        <f>+G69+I69+J69</f>
        <v>100638.25</v>
      </c>
      <c r="L69" s="149" t="s">
        <v>709</v>
      </c>
      <c r="M69" s="244"/>
      <c r="N69"/>
      <c r="O69"/>
    </row>
    <row r="70" spans="1:14" ht="12.75">
      <c r="A70" s="248">
        <f>+A69+1</f>
        <v>34</v>
      </c>
      <c r="B70" s="1050" t="s">
        <v>904</v>
      </c>
      <c r="C70" s="617" t="s">
        <v>364</v>
      </c>
      <c r="D70" s="322">
        <v>49250.91</v>
      </c>
      <c r="E70" s="436">
        <f>D70</f>
        <v>49250.91</v>
      </c>
      <c r="F70" s="239"/>
      <c r="G70" s="436"/>
      <c r="I70" s="436"/>
      <c r="J70" s="646">
        <v>0</v>
      </c>
      <c r="K70" s="509">
        <f>+G70+I70+J70</f>
        <v>0</v>
      </c>
      <c r="L70" s="149"/>
      <c r="M70" s="244"/>
      <c r="N70" s="244"/>
    </row>
    <row r="71" spans="1:14" ht="12.75">
      <c r="A71" s="248">
        <f>+A70+1</f>
        <v>35</v>
      </c>
      <c r="B71" s="1051"/>
      <c r="C71" s="616"/>
      <c r="D71" s="322"/>
      <c r="E71" s="436"/>
      <c r="F71" s="239"/>
      <c r="G71" s="436"/>
      <c r="I71" s="436"/>
      <c r="J71" s="436"/>
      <c r="K71" s="509">
        <f>+G71+I71+J71</f>
        <v>0</v>
      </c>
      <c r="L71" s="149"/>
      <c r="M71" s="244"/>
      <c r="N71" s="244"/>
    </row>
    <row r="72" spans="1:15" ht="13.5" thickBot="1">
      <c r="A72" s="248"/>
      <c r="B72" s="157"/>
      <c r="C72" s="157"/>
      <c r="D72" s="509"/>
      <c r="E72" s="340"/>
      <c r="F72" s="239"/>
      <c r="G72" s="436"/>
      <c r="I72" s="436"/>
      <c r="J72" s="436"/>
      <c r="K72" s="436"/>
      <c r="L72"/>
      <c r="M72" s="244"/>
      <c r="N72"/>
      <c r="O72"/>
    </row>
    <row r="73" spans="1:15" ht="12.75">
      <c r="A73" s="248"/>
      <c r="B73" s="515"/>
      <c r="C73" s="170" t="s">
        <v>868</v>
      </c>
      <c r="D73" s="521">
        <f>IF(SUM(D59:D72)=0,"",SUM(D59:D72))</f>
        <v>2242039.51</v>
      </c>
      <c r="E73" s="742">
        <f>IF(SUM(E59:E72)=0,"",SUM(E59:E72))</f>
        <v>-4150058.12</v>
      </c>
      <c r="F73" s="239"/>
      <c r="G73" s="521">
        <f>SUM(G59:G72)</f>
        <v>0</v>
      </c>
      <c r="I73" s="521">
        <f>IF(SUM(I59:I72)=0,"",SUM(I59:I72))</f>
        <v>2184357.64</v>
      </c>
      <c r="J73" s="521">
        <f>IF(SUM(J59:J72)=0,"",SUM(J59:J72))</f>
        <v>4207739.99</v>
      </c>
      <c r="K73" s="521">
        <f>IF(SUM(K59:K72)=0,"",SUM(K59:K72))</f>
        <v>6392097.630000001</v>
      </c>
      <c r="L73"/>
      <c r="M73" s="244"/>
      <c r="N73"/>
      <c r="O73"/>
    </row>
    <row r="74" spans="1:15" ht="12.75">
      <c r="A74" s="248"/>
      <c r="B74" s="248"/>
      <c r="C74"/>
      <c r="D74"/>
      <c r="E74"/>
      <c r="F74"/>
      <c r="G74"/>
      <c r="H74"/>
      <c r="I74"/>
      <c r="J74"/>
      <c r="K74"/>
      <c r="L74"/>
      <c r="M74"/>
      <c r="N74"/>
      <c r="O74"/>
    </row>
    <row r="75" spans="1:15" ht="12.75">
      <c r="A75"/>
      <c r="B75"/>
      <c r="C75"/>
      <c r="D75"/>
      <c r="E75"/>
      <c r="F75"/>
      <c r="G75"/>
      <c r="H75"/>
      <c r="I75" s="61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sheetData>
  <sheetProtection/>
  <mergeCells count="11">
    <mergeCell ref="B54:J54"/>
    <mergeCell ref="B22:K22"/>
    <mergeCell ref="E10:E11"/>
    <mergeCell ref="I10:I11"/>
    <mergeCell ref="B32:J32"/>
    <mergeCell ref="G10:G11"/>
    <mergeCell ref="B8:K8"/>
    <mergeCell ref="A1:L1"/>
    <mergeCell ref="A2:L2"/>
    <mergeCell ref="A3:L3"/>
    <mergeCell ref="A4:L4"/>
  </mergeCells>
  <printOptions/>
  <pageMargins left="1.08" right="0.75" top="1" bottom="0.41" header="0.86" footer="0.27"/>
  <pageSetup fitToHeight="1" fitToWidth="1" horizontalDpi="600" verticalDpi="600" orientation="landscape" scale="48"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zoomScaleSheetLayoutView="100" zoomScalePageLayoutView="0" workbookViewId="0" topLeftCell="A1">
      <selection activeCell="A1" sqref="A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1" t="str">
        <f>+'KGPCo WS C  - Working Capital'!A1:L1</f>
        <v>AEP East Companies</v>
      </c>
      <c r="B1" s="1141"/>
      <c r="C1" s="1141"/>
      <c r="D1" s="1141"/>
      <c r="E1" s="1141"/>
      <c r="F1" s="175"/>
      <c r="G1" s="175"/>
      <c r="H1" s="175"/>
      <c r="I1" s="175"/>
      <c r="J1" s="175"/>
      <c r="K1" s="175"/>
      <c r="L1" s="175"/>
      <c r="M1" s="175"/>
      <c r="N1" s="175"/>
      <c r="O1" s="175"/>
    </row>
    <row r="2" spans="1:15" ht="15">
      <c r="A2" s="1140" t="str">
        <f>"Cost of Service Formula Rate Using "&amp;'KGPCo Historic TCOS'!O1&amp;" FF1 Balances"</f>
        <v>Cost of Service Formula Rate Using 2011 FF1 Balances</v>
      </c>
      <c r="B2" s="1140"/>
      <c r="C2" s="1140"/>
      <c r="D2" s="1140"/>
      <c r="E2" s="1140"/>
      <c r="F2" s="291"/>
      <c r="G2" s="291"/>
      <c r="H2" s="291"/>
      <c r="I2" s="291"/>
      <c r="J2" s="291"/>
      <c r="K2" s="291"/>
      <c r="L2" s="291"/>
      <c r="M2" s="292"/>
      <c r="N2" s="292"/>
      <c r="O2" s="292"/>
    </row>
    <row r="3" spans="1:15" ht="15">
      <c r="A3" s="1140" t="s">
        <v>41</v>
      </c>
      <c r="B3" s="1140"/>
      <c r="C3" s="1140"/>
      <c r="D3" s="1140"/>
      <c r="E3" s="1140"/>
      <c r="F3" s="291"/>
      <c r="G3" s="291"/>
      <c r="H3" s="291"/>
      <c r="I3" s="291"/>
      <c r="J3" s="291"/>
      <c r="K3" s="291"/>
      <c r="L3" s="291"/>
      <c r="M3" s="291"/>
      <c r="N3" s="291"/>
      <c r="O3" s="291"/>
    </row>
    <row r="4" spans="1:15" ht="15">
      <c r="A4" s="1120" t="str">
        <f>+'KGPCo WS C  - Working Capital'!A4:O4</f>
        <v>KINGSPORT POWER COMPANY</v>
      </c>
      <c r="B4" s="1120"/>
      <c r="C4" s="1120"/>
      <c r="D4" s="1120"/>
      <c r="E4" s="1120"/>
      <c r="F4" s="12"/>
      <c r="G4" s="12"/>
      <c r="H4" s="12"/>
      <c r="I4" s="12"/>
      <c r="J4" s="12"/>
      <c r="K4" s="12"/>
      <c r="L4" s="12"/>
      <c r="M4" s="12"/>
      <c r="N4" s="12"/>
      <c r="O4" s="12"/>
    </row>
    <row r="6" spans="1:3" ht="12.75">
      <c r="A6" s="624" t="s">
        <v>764</v>
      </c>
      <c r="B6" s="281" t="s">
        <v>757</v>
      </c>
      <c r="C6" s="281" t="s">
        <v>758</v>
      </c>
    </row>
    <row r="7" spans="1:3" ht="12.75">
      <c r="A7" s="624" t="s">
        <v>700</v>
      </c>
      <c r="B7" s="624" t="s">
        <v>762</v>
      </c>
      <c r="C7" s="624">
        <f>+'KGPCo Historic TCOS'!O1</f>
        <v>2011</v>
      </c>
    </row>
    <row r="8" spans="1:3" ht="12.75">
      <c r="A8" s="232"/>
      <c r="B8" s="842"/>
      <c r="C8" s="281"/>
    </row>
    <row r="9" spans="1:4" ht="12.75">
      <c r="A9" s="6">
        <v>1</v>
      </c>
      <c r="B9" s="843" t="str">
        <f>"Net Funds from IPP Customers 12/31/"&amp;'KGPCo Historic TCOS'!O1&amp;" ("&amp;'KGPCo Historic TCOS'!O1&amp;" FORM 1, P269, line 24.b)"</f>
        <v>Net Funds from IPP Customers 12/31/2011 (2011 FORM 1, P269, line 24.b)</v>
      </c>
      <c r="C9" s="325">
        <v>0</v>
      </c>
      <c r="D9" s="149"/>
    </row>
    <row r="10" spans="2:4" ht="12.75">
      <c r="B10" s="801"/>
      <c r="D10" s="149"/>
    </row>
    <row r="11" spans="1:4" ht="12.75">
      <c r="A11" s="6">
        <v>2</v>
      </c>
      <c r="B11" s="973" t="s">
        <v>823</v>
      </c>
      <c r="C11" s="325">
        <v>0</v>
      </c>
      <c r="D11" s="149"/>
    </row>
    <row r="12" spans="2:4" ht="12.75">
      <c r="B12" s="973"/>
      <c r="D12" s="149"/>
    </row>
    <row r="13" spans="1:4" ht="12.75">
      <c r="A13" s="6">
        <f>+A11+1</f>
        <v>3</v>
      </c>
      <c r="B13" s="973" t="s">
        <v>824</v>
      </c>
      <c r="C13" s="325">
        <v>0</v>
      </c>
      <c r="D13" s="149"/>
    </row>
    <row r="14" spans="2:4" ht="12.75">
      <c r="B14" s="973"/>
      <c r="D14" s="149"/>
    </row>
    <row r="15" spans="1:4" ht="12.75">
      <c r="A15" s="6">
        <f>+A13+1</f>
        <v>4</v>
      </c>
      <c r="B15" s="1072" t="s">
        <v>55</v>
      </c>
      <c r="D15" s="149"/>
    </row>
    <row r="16" spans="1:4" ht="12.75">
      <c r="A16" s="6">
        <f>+A15+1</f>
        <v>5</v>
      </c>
      <c r="B16" s="1073" t="s">
        <v>825</v>
      </c>
      <c r="C16" s="325">
        <v>0</v>
      </c>
      <c r="D16" s="149"/>
    </row>
    <row r="17" spans="1:4" ht="12.75">
      <c r="A17" s="6">
        <f>+A16+1</f>
        <v>6</v>
      </c>
      <c r="B17" s="753" t="s">
        <v>709</v>
      </c>
      <c r="C17" s="326">
        <v>0</v>
      </c>
      <c r="D17" s="149"/>
    </row>
    <row r="18" spans="2:4" ht="12.75">
      <c r="B18" s="764"/>
      <c r="C18" s="166"/>
      <c r="D18" s="149"/>
    </row>
    <row r="19" spans="1:4" ht="12.75">
      <c r="A19" s="6">
        <f>+A17+1</f>
        <v>7</v>
      </c>
      <c r="B19" s="1074" t="str">
        <f>"Net Funds from IPP Customers 12/31/"&amp;'KGPCo Historic TCOS'!O1&amp;" ("&amp;'KGPCo Historic TCOS'!O1&amp;" FORM 1, P269, line 24.f)"</f>
        <v>Net Funds from IPP Customers 12/31/2011 (2011 FORM 1, P269, line 24.f)</v>
      </c>
      <c r="C19" s="205">
        <f>+C9+C11+C13+C16+C17</f>
        <v>0</v>
      </c>
      <c r="D19" s="293"/>
    </row>
    <row r="20" spans="2:4" ht="12.75">
      <c r="B20" s="764"/>
      <c r="D20" s="149"/>
    </row>
    <row r="21" spans="1:4" ht="12.75">
      <c r="A21" s="6">
        <f>+A19+1</f>
        <v>8</v>
      </c>
      <c r="B21" s="1073" t="str">
        <f>"Average Balance for Year as Indicated in Column ((ln "&amp;A9&amp;" + ln "&amp;A19&amp;")/2)"</f>
        <v>Average Balance for Year as Indicated in Column ((ln 1 + ln 7)/2)</v>
      </c>
      <c r="C21" s="324">
        <f>AVERAGE(C19,C9)</f>
        <v>0</v>
      </c>
      <c r="D21" s="149"/>
    </row>
    <row r="22" spans="2:4" ht="12.75">
      <c r="B22" s="764"/>
      <c r="D22" s="149"/>
    </row>
    <row r="23" spans="2:4" ht="12.75">
      <c r="B23" s="764"/>
      <c r="C23" s="205"/>
      <c r="D23" s="149"/>
    </row>
    <row r="24" spans="1:4" ht="15">
      <c r="A24" s="15" t="s">
        <v>447</v>
      </c>
      <c r="B24" s="1169" t="str">
        <f>"On this worksheet Company Records refers to  "&amp;A4&amp;"'s general ledger."</f>
        <v>On this worksheet Company Records refers to  KINGSPORT POWER COMPANY's general ledger.</v>
      </c>
      <c r="D24" s="149"/>
    </row>
    <row r="25" spans="2:4" ht="12.75">
      <c r="B25" s="1145"/>
      <c r="D25" s="149"/>
    </row>
    <row r="26" ht="12.75">
      <c r="D26" s="149"/>
    </row>
    <row r="27" ht="12.75">
      <c r="D27" s="149"/>
    </row>
    <row r="28" ht="12.75">
      <c r="D28" s="149"/>
    </row>
    <row r="29" ht="12.75">
      <c r="D29" s="149"/>
    </row>
    <row r="30" ht="12.75">
      <c r="D30" s="294"/>
    </row>
    <row r="31" ht="12.75">
      <c r="D31" s="149"/>
    </row>
    <row r="32" ht="12.75">
      <c r="D32" s="149"/>
    </row>
    <row r="33" ht="12.75">
      <c r="D33" s="149"/>
    </row>
    <row r="34" spans="1:4" ht="12.75">
      <c r="A34" s="232"/>
      <c r="B34" s="149"/>
      <c r="C34" s="149"/>
      <c r="D34" s="149"/>
    </row>
    <row r="35" spans="1:3" ht="12.75">
      <c r="A35" s="232"/>
      <c r="B35" s="149"/>
      <c r="C35" s="149"/>
    </row>
    <row r="36" ht="12.75">
      <c r="C36" s="197"/>
    </row>
    <row r="57" spans="1:3" ht="12.75">
      <c r="A57" s="282" t="s">
        <v>655</v>
      </c>
      <c r="B57" s="282" t="s">
        <v>649</v>
      </c>
      <c r="C57" s="282" t="s">
        <v>547</v>
      </c>
    </row>
    <row r="58" spans="1:3" ht="12.75">
      <c r="A58" s="283">
        <v>1</v>
      </c>
      <c r="B58" s="284" t="s">
        <v>650</v>
      </c>
      <c r="C58" s="285">
        <v>-8144788.9</v>
      </c>
    </row>
    <row r="59" spans="1:3" ht="12.75">
      <c r="A59" s="283"/>
      <c r="B59" s="231"/>
      <c r="C59" s="286"/>
    </row>
    <row r="60" spans="1:3" ht="12.75">
      <c r="A60" s="283"/>
      <c r="B60" s="231"/>
      <c r="C60" s="286"/>
    </row>
    <row r="61" spans="1:3" ht="12.75">
      <c r="A61" s="283">
        <f>A58+1</f>
        <v>2</v>
      </c>
      <c r="B61" s="284" t="s">
        <v>651</v>
      </c>
      <c r="C61" s="286"/>
    </row>
    <row r="62" spans="1:3" ht="12.75">
      <c r="A62" s="283">
        <f>A61+1</f>
        <v>3</v>
      </c>
      <c r="B62" s="231">
        <v>2002</v>
      </c>
      <c r="C62" s="286">
        <v>90104.34</v>
      </c>
    </row>
    <row r="63" spans="1:3" ht="12.75">
      <c r="A63" s="283">
        <f aca="true" t="shared" si="0" ref="A63:A70">A62+1</f>
        <v>4</v>
      </c>
      <c r="B63" s="231">
        <v>2003</v>
      </c>
      <c r="C63" s="286">
        <v>-23688.75</v>
      </c>
    </row>
    <row r="64" spans="1:3" ht="12.75">
      <c r="A64" s="283">
        <f t="shared" si="0"/>
        <v>5</v>
      </c>
      <c r="B64" s="231">
        <v>2004</v>
      </c>
      <c r="C64" s="286">
        <v>33506.34</v>
      </c>
    </row>
    <row r="65" spans="1:3" ht="12.75">
      <c r="A65" s="283">
        <f t="shared" si="0"/>
        <v>6</v>
      </c>
      <c r="B65" s="231">
        <v>2005</v>
      </c>
      <c r="C65" s="286">
        <v>90818.93</v>
      </c>
    </row>
    <row r="66" spans="1:3" ht="12.75">
      <c r="A66" s="283">
        <f>A65+1</f>
        <v>7</v>
      </c>
      <c r="B66" s="231">
        <v>2006</v>
      </c>
      <c r="C66" s="287">
        <v>45035.4</v>
      </c>
    </row>
    <row r="67" spans="1:3" ht="12.75">
      <c r="A67" s="283">
        <f>A66+1</f>
        <v>8</v>
      </c>
      <c r="B67" s="231">
        <v>2007</v>
      </c>
      <c r="C67" s="288">
        <v>3217556.62</v>
      </c>
    </row>
    <row r="68" spans="1:3" ht="12.75">
      <c r="A68" s="283">
        <f>A67+1</f>
        <v>9</v>
      </c>
      <c r="B68" s="231"/>
      <c r="C68" s="286">
        <f>SUM(C62:C67)</f>
        <v>3453332.88</v>
      </c>
    </row>
    <row r="69" spans="1:3" ht="12.75">
      <c r="A69" s="283">
        <f t="shared" si="0"/>
        <v>10</v>
      </c>
      <c r="B69" s="231"/>
      <c r="C69" s="286"/>
    </row>
    <row r="70" spans="1:3" ht="12.75">
      <c r="A70" s="283">
        <f t="shared" si="0"/>
        <v>11</v>
      </c>
      <c r="B70" s="231" t="s">
        <v>652</v>
      </c>
      <c r="C70" s="289">
        <f>+C58+C68</f>
        <v>-4691456.0200000005</v>
      </c>
    </row>
    <row r="71" spans="1:3" ht="12.75">
      <c r="A71" s="283"/>
      <c r="B71" s="231"/>
      <c r="C71" s="286"/>
    </row>
    <row r="72" spans="1:3" ht="12.75">
      <c r="A72" s="283">
        <f>A70+1</f>
        <v>12</v>
      </c>
      <c r="B72" s="284" t="s">
        <v>653</v>
      </c>
      <c r="C72" s="286"/>
    </row>
    <row r="73" spans="1:3" ht="12.75">
      <c r="A73" s="283">
        <f aca="true" t="shared" si="1" ref="A73:A79">A72+1</f>
        <v>13</v>
      </c>
      <c r="B73" s="231">
        <v>2002</v>
      </c>
      <c r="C73" s="286">
        <v>0</v>
      </c>
    </row>
    <row r="74" spans="1:3" ht="12.75">
      <c r="A74" s="283">
        <f t="shared" si="1"/>
        <v>14</v>
      </c>
      <c r="B74" s="231">
        <v>2003</v>
      </c>
      <c r="C74" s="286">
        <v>-215249.01</v>
      </c>
    </row>
    <row r="75" spans="1:3" ht="12.75">
      <c r="A75" s="283">
        <f t="shared" si="1"/>
        <v>15</v>
      </c>
      <c r="B75" s="231">
        <v>2004</v>
      </c>
      <c r="C75" s="286">
        <v>-229391.09</v>
      </c>
    </row>
    <row r="76" spans="1:3" ht="12.75">
      <c r="A76" s="283">
        <f t="shared" si="1"/>
        <v>16</v>
      </c>
      <c r="B76" s="231">
        <v>2005</v>
      </c>
      <c r="C76" s="286">
        <v>-396663.92</v>
      </c>
    </row>
    <row r="77" spans="1:3" ht="12.75">
      <c r="A77" s="283">
        <f t="shared" si="1"/>
        <v>17</v>
      </c>
      <c r="B77" s="231">
        <v>2006</v>
      </c>
      <c r="C77" s="287">
        <v>-588681.24</v>
      </c>
    </row>
    <row r="78" spans="1:3" ht="12.75">
      <c r="A78" s="283">
        <f t="shared" si="1"/>
        <v>18</v>
      </c>
      <c r="B78" s="231">
        <v>2007</v>
      </c>
      <c r="C78" s="287">
        <v>-683688</v>
      </c>
    </row>
    <row r="79" spans="1:3" ht="12.75">
      <c r="A79" s="283">
        <f t="shared" si="1"/>
        <v>19</v>
      </c>
      <c r="B79" s="231"/>
      <c r="C79" s="286">
        <f>SUM(C73:C78)</f>
        <v>-2113673.26</v>
      </c>
    </row>
    <row r="80" spans="1:3" ht="12.75">
      <c r="A80" s="283"/>
      <c r="B80" s="231"/>
      <c r="C80" s="290"/>
    </row>
    <row r="81" spans="1:3" ht="13.5" thickBot="1">
      <c r="A81" s="232">
        <f>A79+1</f>
        <v>20</v>
      </c>
      <c r="B81" s="149" t="s">
        <v>873</v>
      </c>
      <c r="C81" s="233">
        <f>+C70+C79</f>
        <v>-6805129.28</v>
      </c>
    </row>
    <row r="82" ht="13.5" thickTop="1"/>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zoomScaleSheetLayoutView="100" zoomScalePageLayoutView="0" workbookViewId="0" topLeftCell="A4">
      <selection activeCell="A1" sqref="A1"/>
    </sheetView>
  </sheetViews>
  <sheetFormatPr defaultColWidth="9.140625" defaultRowHeight="12.75"/>
  <cols>
    <col min="1" max="1" width="9.421875" style="96" customWidth="1"/>
    <col min="2" max="2" width="6.7109375" style="96" customWidth="1"/>
    <col min="3" max="6" width="12.7109375" style="96" customWidth="1"/>
    <col min="7" max="7" width="27.00390625" style="96" customWidth="1"/>
    <col min="8" max="8" width="9.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1" t="str">
        <f>+'KGPCo WS C  - Working Capital'!A1:L1</f>
        <v>AEP East Companies</v>
      </c>
      <c r="B1" s="1141"/>
      <c r="C1" s="1141"/>
      <c r="D1" s="1141"/>
      <c r="E1" s="1141"/>
      <c r="F1" s="1141"/>
      <c r="G1" s="1141"/>
      <c r="H1" s="1141"/>
      <c r="I1" s="1141"/>
      <c r="J1" s="1141"/>
      <c r="K1" s="1141"/>
      <c r="L1" s="175"/>
      <c r="M1" s="175"/>
      <c r="N1" s="175"/>
      <c r="O1" s="175"/>
    </row>
    <row r="2" spans="1:15" ht="15">
      <c r="A2" s="1140" t="str">
        <f>"Cost of Service Formula Rate Using "&amp;'KGPCo Historic TCOS'!O1&amp;" FF1 Balances"</f>
        <v>Cost of Service Formula Rate Using 2011 FF1 Balances</v>
      </c>
      <c r="B2" s="1140"/>
      <c r="C2" s="1140"/>
      <c r="D2" s="1140"/>
      <c r="E2" s="1140"/>
      <c r="F2" s="1140"/>
      <c r="G2" s="1140"/>
      <c r="H2" s="1140"/>
      <c r="I2" s="1140"/>
      <c r="J2" s="1140"/>
      <c r="K2" s="1140"/>
      <c r="L2" s="292"/>
      <c r="M2" s="292"/>
      <c r="N2" s="292"/>
      <c r="O2" s="292"/>
    </row>
    <row r="3" spans="1:15" ht="15">
      <c r="A3" s="1140" t="s">
        <v>83</v>
      </c>
      <c r="B3" s="1140"/>
      <c r="C3" s="1140"/>
      <c r="D3" s="1140"/>
      <c r="E3" s="1140"/>
      <c r="F3" s="1140"/>
      <c r="G3" s="1140"/>
      <c r="H3" s="1140"/>
      <c r="I3" s="1140"/>
      <c r="J3" s="1140"/>
      <c r="K3" s="1140"/>
      <c r="L3" s="291"/>
      <c r="M3" s="291"/>
      <c r="N3" s="291"/>
      <c r="O3" s="291"/>
    </row>
    <row r="4" spans="1:15" ht="15">
      <c r="A4" s="1120" t="str">
        <f>+'KGPCo WS D IPP Credits'!A4:C4</f>
        <v>KINGSPORT POWER COMPANY</v>
      </c>
      <c r="B4" s="1120"/>
      <c r="C4" s="1120"/>
      <c r="D4" s="1120"/>
      <c r="E4" s="1120"/>
      <c r="F4" s="1120"/>
      <c r="G4" s="1120"/>
      <c r="H4" s="1120"/>
      <c r="I4" s="1120"/>
      <c r="J4" s="1120"/>
      <c r="K4" s="1120"/>
      <c r="L4" s="12"/>
      <c r="M4" s="12"/>
      <c r="N4" s="12"/>
      <c r="O4" s="12"/>
    </row>
    <row r="5" spans="1:15" ht="15">
      <c r="A5" s="303"/>
      <c r="B5" s="303"/>
      <c r="C5" s="303"/>
      <c r="D5" s="303"/>
      <c r="E5" s="303"/>
      <c r="F5" s="303"/>
      <c r="G5" s="303"/>
      <c r="H5" s="303"/>
      <c r="I5" s="303"/>
      <c r="J5" s="303"/>
      <c r="K5" s="303"/>
      <c r="L5" s="303"/>
      <c r="M5" s="303"/>
      <c r="N5" s="303"/>
      <c r="O5" s="303"/>
    </row>
    <row r="6" spans="1:13" ht="18">
      <c r="A6" s="1129"/>
      <c r="B6" s="1129"/>
      <c r="C6" s="1129"/>
      <c r="D6" s="1129"/>
      <c r="E6" s="1129"/>
      <c r="F6" s="1129"/>
      <c r="G6" s="1129"/>
      <c r="H6" s="1129"/>
      <c r="I6" s="1129"/>
      <c r="J6" s="1129"/>
      <c r="K6" s="1129"/>
      <c r="L6" s="218"/>
      <c r="M6" s="596"/>
    </row>
    <row r="7" spans="1:13" ht="18">
      <c r="A7" s="546"/>
      <c r="B7" s="546"/>
      <c r="C7" s="546"/>
      <c r="D7" s="546"/>
      <c r="E7" s="546"/>
      <c r="F7" s="546"/>
      <c r="G7" s="546"/>
      <c r="H7" s="546"/>
      <c r="I7" s="546"/>
      <c r="J7" s="546"/>
      <c r="K7" s="546"/>
      <c r="L7" s="218"/>
      <c r="M7" s="596"/>
    </row>
    <row r="8" spans="1:22" ht="15.75">
      <c r="A8" s="626" t="s">
        <v>764</v>
      </c>
      <c r="B8" s="218"/>
      <c r="C8" s="595"/>
      <c r="D8" s="595"/>
      <c r="E8" s="595"/>
      <c r="F8" s="595"/>
      <c r="G8" s="220"/>
      <c r="H8" s="220"/>
      <c r="I8" s="626" t="s">
        <v>854</v>
      </c>
      <c r="J8" s="626" t="s">
        <v>648</v>
      </c>
      <c r="K8" s="627"/>
      <c r="N8" s="597"/>
      <c r="P8" s="597"/>
      <c r="R8" s="597"/>
      <c r="S8" s="597"/>
      <c r="T8" s="597"/>
      <c r="U8" s="7"/>
      <c r="V8" s="7"/>
    </row>
    <row r="9" spans="1:22" ht="15.75">
      <c r="A9" s="626" t="s">
        <v>700</v>
      </c>
      <c r="B9" s="1130" t="s">
        <v>762</v>
      </c>
      <c r="C9" s="1130"/>
      <c r="D9" s="1130"/>
      <c r="E9" s="1130"/>
      <c r="F9" s="1130"/>
      <c r="G9" s="1130"/>
      <c r="H9" s="1130"/>
      <c r="I9" s="625" t="s">
        <v>855</v>
      </c>
      <c r="J9" s="625" t="s">
        <v>710</v>
      </c>
      <c r="K9" s="625" t="s">
        <v>710</v>
      </c>
      <c r="N9" s="597"/>
      <c r="O9" s="597"/>
      <c r="P9" s="597"/>
      <c r="Q9" s="597"/>
      <c r="R9" s="597"/>
      <c r="S9" s="597"/>
      <c r="T9" s="598"/>
      <c r="U9" s="7"/>
      <c r="V9" s="7"/>
    </row>
    <row r="10" spans="1:22" ht="15.75">
      <c r="A10" s="220"/>
      <c r="B10" s="594"/>
      <c r="C10" s="218"/>
      <c r="D10" s="220"/>
      <c r="E10" s="220"/>
      <c r="F10" s="220"/>
      <c r="G10" s="220"/>
      <c r="H10" s="220"/>
      <c r="I10" s="220"/>
      <c r="J10" s="220"/>
      <c r="K10" s="219"/>
      <c r="N10" s="597"/>
      <c r="O10" s="597"/>
      <c r="P10" s="597"/>
      <c r="Q10" s="597"/>
      <c r="R10" s="597"/>
      <c r="S10" s="597"/>
      <c r="T10" s="598"/>
      <c r="U10" s="7"/>
      <c r="V10" s="7"/>
    </row>
    <row r="11" spans="1:22" s="988" customFormat="1" ht="12.75">
      <c r="A11" s="974">
        <v>1</v>
      </c>
      <c r="B11" s="975" t="s">
        <v>68</v>
      </c>
      <c r="D11" s="989"/>
      <c r="E11" s="989"/>
      <c r="F11" s="977"/>
      <c r="G11" s="989"/>
      <c r="H11" s="989"/>
      <c r="I11" s="979">
        <v>261014</v>
      </c>
      <c r="J11" s="980">
        <f>+I11-K11</f>
        <v>261014</v>
      </c>
      <c r="K11" s="981">
        <v>0</v>
      </c>
      <c r="N11" s="103"/>
      <c r="O11" s="103"/>
      <c r="P11" s="103"/>
      <c r="Q11" s="103"/>
      <c r="R11" s="103"/>
      <c r="S11" s="103"/>
      <c r="T11" s="378"/>
      <c r="U11" s="103"/>
      <c r="V11" s="103"/>
    </row>
    <row r="12" spans="1:22" s="988" customFormat="1" ht="12.75">
      <c r="A12" s="974"/>
      <c r="B12" s="975"/>
      <c r="D12" s="989"/>
      <c r="E12" s="989"/>
      <c r="F12" s="977"/>
      <c r="G12" s="989"/>
      <c r="H12" s="989"/>
      <c r="I12" s="982"/>
      <c r="J12" s="983"/>
      <c r="K12" s="983"/>
      <c r="N12" s="103"/>
      <c r="O12" s="103"/>
      <c r="P12" s="103"/>
      <c r="Q12" s="103"/>
      <c r="R12" s="103"/>
      <c r="S12" s="103"/>
      <c r="T12" s="378"/>
      <c r="U12" s="103"/>
      <c r="V12" s="103"/>
    </row>
    <row r="13" spans="1:22" s="988" customFormat="1" ht="12.75">
      <c r="A13" s="974">
        <f>+A11+1</f>
        <v>2</v>
      </c>
      <c r="B13" s="976" t="s">
        <v>69</v>
      </c>
      <c r="D13" s="989"/>
      <c r="E13" s="989"/>
      <c r="F13" s="977"/>
      <c r="G13" s="989"/>
      <c r="H13" s="977" t="s">
        <v>709</v>
      </c>
      <c r="I13" s="979">
        <v>10850</v>
      </c>
      <c r="J13" s="980">
        <f>+I13-K13</f>
        <v>10850</v>
      </c>
      <c r="K13" s="981">
        <v>0</v>
      </c>
      <c r="N13" s="103"/>
      <c r="O13" s="103"/>
      <c r="P13" s="103"/>
      <c r="Q13" s="103"/>
      <c r="R13" s="103"/>
      <c r="S13" s="103"/>
      <c r="T13" s="103"/>
      <c r="U13" s="103"/>
      <c r="V13" s="103"/>
    </row>
    <row r="14" spans="1:22" s="988" customFormat="1" ht="12.75">
      <c r="A14" s="974"/>
      <c r="B14" s="976"/>
      <c r="D14" s="989"/>
      <c r="E14" s="989"/>
      <c r="F14" s="977"/>
      <c r="G14" s="989"/>
      <c r="H14" s="977"/>
      <c r="I14" s="983"/>
      <c r="J14" s="983"/>
      <c r="K14" s="984"/>
      <c r="N14" s="103"/>
      <c r="O14" s="103"/>
      <c r="P14" s="103"/>
      <c r="Q14" s="103"/>
      <c r="R14" s="103"/>
      <c r="S14" s="103"/>
      <c r="T14" s="103"/>
      <c r="U14" s="103"/>
      <c r="V14" s="103"/>
    </row>
    <row r="15" spans="1:22" s="988" customFormat="1" ht="12.75">
      <c r="A15" s="974">
        <f>+A13+1</f>
        <v>3</v>
      </c>
      <c r="B15" s="976" t="s">
        <v>70</v>
      </c>
      <c r="D15" s="989"/>
      <c r="E15" s="989"/>
      <c r="F15" s="977"/>
      <c r="G15" s="989"/>
      <c r="H15" s="989"/>
      <c r="I15" s="979">
        <v>764866</v>
      </c>
      <c r="J15" s="980">
        <f>+I15-K15</f>
        <v>724644</v>
      </c>
      <c r="K15" s="981">
        <v>40222</v>
      </c>
      <c r="N15" s="103"/>
      <c r="O15" s="103"/>
      <c r="P15" s="103"/>
      <c r="Q15" s="103"/>
      <c r="R15" s="103"/>
      <c r="S15" s="103"/>
      <c r="T15" s="103"/>
      <c r="U15" s="103"/>
      <c r="V15" s="103"/>
    </row>
    <row r="16" spans="1:22" s="988" customFormat="1" ht="12.75">
      <c r="A16" s="974"/>
      <c r="B16" s="977"/>
      <c r="D16" s="989"/>
      <c r="E16" s="989"/>
      <c r="F16" s="977"/>
      <c r="G16" s="984"/>
      <c r="H16" s="977"/>
      <c r="I16" s="983"/>
      <c r="J16" s="983"/>
      <c r="K16" s="983"/>
      <c r="N16" s="103"/>
      <c r="O16" s="103"/>
      <c r="P16" s="103"/>
      <c r="Q16" s="103"/>
      <c r="R16" s="103"/>
      <c r="S16" s="103"/>
      <c r="T16" s="103"/>
      <c r="U16" s="103"/>
      <c r="V16" s="103"/>
    </row>
    <row r="17" spans="1:22" s="988" customFormat="1" ht="12.75">
      <c r="A17" s="1075">
        <f>+A15+1</f>
        <v>4</v>
      </c>
      <c r="B17" s="1076" t="s">
        <v>71</v>
      </c>
      <c r="D17" s="989"/>
      <c r="E17" s="989"/>
      <c r="F17" s="977"/>
      <c r="G17" s="984"/>
      <c r="H17" s="977"/>
      <c r="I17" s="979">
        <v>160620</v>
      </c>
      <c r="J17" s="980">
        <f>+I17-K17</f>
        <v>42800</v>
      </c>
      <c r="K17" s="981">
        <v>117820</v>
      </c>
      <c r="N17" s="1009"/>
      <c r="O17" s="103"/>
      <c r="P17" s="103"/>
      <c r="Q17" s="103"/>
      <c r="R17" s="103"/>
      <c r="S17" s="103"/>
      <c r="T17" s="103"/>
      <c r="U17" s="103"/>
      <c r="V17" s="103"/>
    </row>
    <row r="18" spans="1:22" s="988" customFormat="1" ht="12.75">
      <c r="A18" s="1075"/>
      <c r="B18" s="1076"/>
      <c r="D18" s="989"/>
      <c r="E18" s="989"/>
      <c r="F18" s="977"/>
      <c r="G18" s="984"/>
      <c r="H18" s="977"/>
      <c r="I18" s="103"/>
      <c r="J18" s="103"/>
      <c r="K18" s="103"/>
      <c r="L18" s="103"/>
      <c r="N18" s="1009"/>
      <c r="O18" s="103"/>
      <c r="P18" s="103"/>
      <c r="Q18" s="103"/>
      <c r="R18" s="103"/>
      <c r="S18" s="103"/>
      <c r="T18" s="103"/>
      <c r="U18" s="103"/>
      <c r="V18" s="103"/>
    </row>
    <row r="19" spans="1:22" s="988" customFormat="1" ht="12.75">
      <c r="A19" s="1075">
        <f>+A17+1</f>
        <v>5</v>
      </c>
      <c r="B19" s="1076" t="s">
        <v>72</v>
      </c>
      <c r="D19" s="989"/>
      <c r="E19" s="989"/>
      <c r="F19" s="977"/>
      <c r="G19" s="984"/>
      <c r="H19" s="977"/>
      <c r="I19" s="979">
        <v>2519208.53</v>
      </c>
      <c r="J19" s="980">
        <f>+I19-K19</f>
        <v>2519208.53</v>
      </c>
      <c r="K19" s="981">
        <v>0</v>
      </c>
      <c r="N19" s="1009"/>
      <c r="O19" s="103"/>
      <c r="P19" s="103"/>
      <c r="Q19" s="103"/>
      <c r="R19" s="103"/>
      <c r="S19" s="103"/>
      <c r="T19" s="103"/>
      <c r="U19" s="103"/>
      <c r="V19" s="103"/>
    </row>
    <row r="20" spans="1:22" s="988" customFormat="1" ht="12.75">
      <c r="A20" s="1075"/>
      <c r="B20" s="1076"/>
      <c r="D20" s="989"/>
      <c r="E20" s="989"/>
      <c r="F20" s="977"/>
      <c r="G20" s="984"/>
      <c r="H20" s="977"/>
      <c r="I20" s="103"/>
      <c r="J20" s="103"/>
      <c r="K20" s="103"/>
      <c r="N20" s="103"/>
      <c r="O20" s="103"/>
      <c r="P20" s="103"/>
      <c r="Q20" s="103"/>
      <c r="R20" s="103"/>
      <c r="S20" s="103"/>
      <c r="T20" s="103"/>
      <c r="U20" s="103"/>
      <c r="V20" s="103"/>
    </row>
    <row r="21" spans="1:22" s="988" customFormat="1" ht="12.75">
      <c r="A21" s="1075">
        <f>+A19+1</f>
        <v>6</v>
      </c>
      <c r="B21" s="1076" t="s">
        <v>826</v>
      </c>
      <c r="D21" s="989"/>
      <c r="E21" s="989"/>
      <c r="F21" s="977"/>
      <c r="G21" s="984"/>
      <c r="H21" s="977"/>
      <c r="I21" s="1079">
        <f>+I19+I17+I15+I13+I11</f>
        <v>3716558.53</v>
      </c>
      <c r="J21" s="1079">
        <f>+J19+J17+J15+J13+J11</f>
        <v>3558516.53</v>
      </c>
      <c r="K21" s="1079">
        <f>+K19+K17+K15+K13+K11</f>
        <v>158042</v>
      </c>
      <c r="N21" s="103"/>
      <c r="O21" s="103"/>
      <c r="P21" s="103"/>
      <c r="Q21" s="103"/>
      <c r="R21" s="103"/>
      <c r="S21" s="103"/>
      <c r="T21" s="103"/>
      <c r="U21" s="103"/>
      <c r="V21" s="103"/>
    </row>
    <row r="22" spans="1:22" s="988" customFormat="1" ht="12.75">
      <c r="A22" s="1075"/>
      <c r="B22" s="1076"/>
      <c r="D22" s="989"/>
      <c r="E22" s="989"/>
      <c r="F22" s="977"/>
      <c r="G22" s="984"/>
      <c r="H22" s="977"/>
      <c r="I22" s="103"/>
      <c r="J22" s="103"/>
      <c r="K22" s="103"/>
      <c r="N22" s="103"/>
      <c r="O22" s="103"/>
      <c r="P22" s="103"/>
      <c r="Q22" s="103"/>
      <c r="R22" s="103"/>
      <c r="S22" s="103"/>
      <c r="T22" s="103"/>
      <c r="U22" s="103"/>
      <c r="V22" s="103"/>
    </row>
    <row r="23" spans="1:22" s="988" customFormat="1" ht="12.75">
      <c r="A23" s="1075">
        <f>+A21+1</f>
        <v>7</v>
      </c>
      <c r="B23" s="1126" t="s">
        <v>73</v>
      </c>
      <c r="C23" s="1127"/>
      <c r="D23" s="1127"/>
      <c r="E23" s="1127"/>
      <c r="F23" s="1127"/>
      <c r="G23" s="1127"/>
      <c r="H23" s="983"/>
      <c r="I23" s="979">
        <v>0</v>
      </c>
      <c r="J23" s="980">
        <f>+I23-K23</f>
        <v>0</v>
      </c>
      <c r="K23" s="981">
        <v>0</v>
      </c>
      <c r="N23" s="103"/>
      <c r="O23" s="103"/>
      <c r="P23" s="103"/>
      <c r="Q23" s="103"/>
      <c r="R23" s="103"/>
      <c r="S23" s="103"/>
      <c r="T23" s="103"/>
      <c r="U23" s="103"/>
      <c r="V23" s="103"/>
    </row>
    <row r="24" spans="1:22" s="988" customFormat="1" ht="12.75">
      <c r="A24" s="974"/>
      <c r="B24" s="1145"/>
      <c r="C24" s="1145"/>
      <c r="D24" s="1145"/>
      <c r="E24" s="1145"/>
      <c r="F24" s="1145"/>
      <c r="G24" s="1145"/>
      <c r="H24" s="977"/>
      <c r="I24" s="985"/>
      <c r="J24" s="977"/>
      <c r="K24" s="986"/>
      <c r="N24" s="103"/>
      <c r="O24" s="103"/>
      <c r="P24" s="103"/>
      <c r="Q24" s="103"/>
      <c r="R24" s="103"/>
      <c r="S24" s="103"/>
      <c r="T24" s="103"/>
      <c r="U24" s="103"/>
      <c r="V24" s="103"/>
    </row>
    <row r="25" spans="1:22" s="988" customFormat="1" ht="12.75">
      <c r="A25" s="1075">
        <f>+A23+1</f>
        <v>8</v>
      </c>
      <c r="B25" s="1077" t="s">
        <v>23</v>
      </c>
      <c r="D25" s="989"/>
      <c r="E25" s="989"/>
      <c r="F25" s="977"/>
      <c r="G25" s="984"/>
      <c r="H25" s="977"/>
      <c r="I25" s="987">
        <f>SUM(I21:I23)</f>
        <v>3716558.53</v>
      </c>
      <c r="J25" s="987">
        <f>SUM(J21:J23)</f>
        <v>3558516.53</v>
      </c>
      <c r="K25" s="987">
        <f>SUM(K21:K23)</f>
        <v>158042</v>
      </c>
      <c r="N25" s="103"/>
      <c r="O25" s="103"/>
      <c r="P25" s="103"/>
      <c r="Q25" s="103"/>
      <c r="R25" s="103"/>
      <c r="S25" s="103"/>
      <c r="T25" s="103"/>
      <c r="U25" s="103"/>
      <c r="V25" s="103"/>
    </row>
    <row r="26" spans="1:22" ht="15.75">
      <c r="A26" s="978"/>
      <c r="C26" s="594"/>
      <c r="D26" s="218"/>
      <c r="E26" s="218"/>
      <c r="F26" s="220"/>
      <c r="G26" s="221"/>
      <c r="H26" s="220"/>
      <c r="I26" s="220"/>
      <c r="J26" s="220"/>
      <c r="K26" s="220"/>
      <c r="L26" s="220"/>
      <c r="M26" s="222"/>
      <c r="N26" s="7"/>
      <c r="O26" s="595"/>
      <c r="P26" s="595"/>
      <c r="Q26" s="595"/>
      <c r="R26" s="595"/>
      <c r="S26" s="7"/>
      <c r="T26" s="7"/>
      <c r="U26" s="7"/>
      <c r="V26" s="7"/>
    </row>
    <row r="27" spans="1:22" ht="15">
      <c r="A27" s="103" t="s">
        <v>447</v>
      </c>
      <c r="B27" s="112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27" s="1137"/>
      <c r="D27" s="1137"/>
      <c r="E27" s="1137"/>
      <c r="F27" s="1137"/>
      <c r="G27" s="1137"/>
      <c r="H27" s="1137"/>
      <c r="I27" s="1137"/>
      <c r="J27" s="1137"/>
      <c r="K27" s="595"/>
      <c r="L27" s="595"/>
      <c r="M27" s="595"/>
      <c r="N27" s="7"/>
      <c r="O27" s="595"/>
      <c r="P27" s="595"/>
      <c r="Q27" s="595"/>
      <c r="R27" s="595"/>
      <c r="S27" s="7"/>
      <c r="T27" s="597"/>
      <c r="U27" s="7"/>
      <c r="V27" s="7"/>
    </row>
    <row r="28" spans="1:41" ht="15.75">
      <c r="A28" s="595"/>
      <c r="B28" s="1136"/>
      <c r="C28" s="1136"/>
      <c r="D28" s="1136"/>
      <c r="E28" s="1136"/>
      <c r="F28" s="1136"/>
      <c r="G28" s="1136"/>
      <c r="H28" s="1136"/>
      <c r="I28" s="1136"/>
      <c r="J28" s="1136"/>
      <c r="K28" s="595"/>
      <c r="L28" s="142"/>
      <c r="M28" s="167"/>
      <c r="N28" s="167"/>
      <c r="O28" s="167"/>
      <c r="P28" s="167"/>
      <c r="Q28" s="167"/>
      <c r="R28" s="142"/>
      <c r="S28" s="142"/>
      <c r="T28" s="142"/>
      <c r="U28" s="142"/>
      <c r="V28" s="142"/>
      <c r="W28" s="599"/>
      <c r="X28" s="599"/>
      <c r="Y28" s="599"/>
      <c r="Z28" s="599"/>
      <c r="AA28" s="599"/>
      <c r="AB28" s="599"/>
      <c r="AC28" s="599"/>
      <c r="AD28" s="599"/>
      <c r="AE28" s="599"/>
      <c r="AF28" s="599"/>
      <c r="AG28" s="599"/>
      <c r="AH28" s="599"/>
      <c r="AI28" s="599"/>
      <c r="AJ28" s="599"/>
      <c r="AK28" s="599"/>
      <c r="AL28" s="599"/>
      <c r="AM28" s="599"/>
      <c r="AN28" s="599"/>
      <c r="AO28" s="599"/>
    </row>
    <row r="29" spans="1:41" ht="15.75">
      <c r="A29" s="1078"/>
      <c r="B29" s="1137"/>
      <c r="C29" s="1137"/>
      <c r="D29" s="1137"/>
      <c r="E29" s="1137"/>
      <c r="F29" s="1137"/>
      <c r="G29" s="1137"/>
      <c r="H29" s="1137"/>
      <c r="I29" s="1137"/>
      <c r="J29" s="1137"/>
      <c r="K29" s="167"/>
      <c r="L29" s="142"/>
      <c r="M29" s="167"/>
      <c r="N29" s="167"/>
      <c r="O29" s="167"/>
      <c r="P29" s="167"/>
      <c r="Q29" s="167"/>
      <c r="R29" s="142"/>
      <c r="S29" s="142"/>
      <c r="T29" s="142"/>
      <c r="U29" s="142"/>
      <c r="V29" s="142"/>
      <c r="W29" s="599"/>
      <c r="X29" s="599"/>
      <c r="Y29" s="599"/>
      <c r="Z29" s="599"/>
      <c r="AA29" s="599"/>
      <c r="AB29" s="599"/>
      <c r="AC29" s="599"/>
      <c r="AD29" s="599"/>
      <c r="AE29" s="599"/>
      <c r="AF29" s="599"/>
      <c r="AG29" s="599"/>
      <c r="AH29" s="599"/>
      <c r="AI29" s="599"/>
      <c r="AJ29" s="599"/>
      <c r="AK29" s="599"/>
      <c r="AL29" s="599"/>
      <c r="AM29" s="599"/>
      <c r="AN29" s="599"/>
      <c r="AO29" s="599"/>
    </row>
    <row r="30" spans="1:41" ht="15.75">
      <c r="A30" s="7"/>
      <c r="B30" s="142"/>
      <c r="E30" s="167"/>
      <c r="F30" s="167"/>
      <c r="G30" s="167"/>
      <c r="H30" s="167"/>
      <c r="I30" s="167"/>
      <c r="J30" s="167"/>
      <c r="K30" s="167"/>
      <c r="L30" s="142"/>
      <c r="M30" s="167"/>
      <c r="N30" s="167"/>
      <c r="O30" s="167"/>
      <c r="P30" s="167"/>
      <c r="Q30" s="167"/>
      <c r="R30" s="142"/>
      <c r="S30" s="142"/>
      <c r="T30" s="142"/>
      <c r="U30" s="142"/>
      <c r="V30" s="142"/>
      <c r="W30" s="599"/>
      <c r="X30" s="599"/>
      <c r="Y30" s="599"/>
      <c r="Z30" s="599"/>
      <c r="AA30" s="599"/>
      <c r="AB30" s="599"/>
      <c r="AC30" s="599"/>
      <c r="AD30" s="599"/>
      <c r="AE30" s="599"/>
      <c r="AF30" s="599"/>
      <c r="AG30" s="599"/>
      <c r="AH30" s="599"/>
      <c r="AI30" s="599"/>
      <c r="AJ30" s="599"/>
      <c r="AK30" s="599"/>
      <c r="AL30" s="599"/>
      <c r="AM30" s="599"/>
      <c r="AN30" s="599"/>
      <c r="AO30" s="599"/>
    </row>
    <row r="31" spans="1:41" ht="15.75">
      <c r="A31" s="7"/>
      <c r="B31" s="142"/>
      <c r="E31" s="167"/>
      <c r="F31" s="167"/>
      <c r="G31" s="167"/>
      <c r="H31" s="167"/>
      <c r="I31" s="167"/>
      <c r="J31" s="167"/>
      <c r="K31" s="167"/>
      <c r="L31" s="142"/>
      <c r="M31" s="167"/>
      <c r="N31" s="167"/>
      <c r="O31" s="167"/>
      <c r="P31" s="167"/>
      <c r="Q31" s="167"/>
      <c r="R31" s="142"/>
      <c r="S31" s="142"/>
      <c r="T31" s="142"/>
      <c r="U31" s="142"/>
      <c r="V31" s="142"/>
      <c r="W31" s="599"/>
      <c r="X31" s="599"/>
      <c r="Y31" s="599"/>
      <c r="Z31" s="599"/>
      <c r="AA31" s="599"/>
      <c r="AB31" s="599"/>
      <c r="AC31" s="599"/>
      <c r="AD31" s="599"/>
      <c r="AE31" s="599"/>
      <c r="AF31" s="599"/>
      <c r="AG31" s="599"/>
      <c r="AH31" s="599"/>
      <c r="AI31" s="599"/>
      <c r="AJ31" s="599"/>
      <c r="AK31" s="599"/>
      <c r="AL31" s="599"/>
      <c r="AM31" s="599"/>
      <c r="AN31" s="599"/>
      <c r="AO31" s="599"/>
    </row>
    <row r="32" spans="1:41" ht="15.75">
      <c r="A32" s="7"/>
      <c r="B32" s="142"/>
      <c r="E32" s="167"/>
      <c r="F32" s="167"/>
      <c r="G32" s="167"/>
      <c r="H32" s="167"/>
      <c r="I32" s="167"/>
      <c r="J32" s="167"/>
      <c r="K32" s="167"/>
      <c r="L32" s="142"/>
      <c r="M32" s="167"/>
      <c r="N32" s="167"/>
      <c r="O32" s="167"/>
      <c r="P32" s="167"/>
      <c r="Q32" s="167"/>
      <c r="R32" s="142"/>
      <c r="S32" s="142"/>
      <c r="T32" s="142"/>
      <c r="U32" s="142"/>
      <c r="V32" s="142"/>
      <c r="W32" s="599"/>
      <c r="X32" s="599"/>
      <c r="Y32" s="599"/>
      <c r="Z32" s="599"/>
      <c r="AA32" s="599"/>
      <c r="AB32" s="599"/>
      <c r="AC32" s="599"/>
      <c r="AD32" s="599"/>
      <c r="AE32" s="599"/>
      <c r="AF32" s="599"/>
      <c r="AG32" s="599"/>
      <c r="AH32" s="599"/>
      <c r="AI32" s="599"/>
      <c r="AJ32" s="599"/>
      <c r="AK32" s="599"/>
      <c r="AL32" s="599"/>
      <c r="AM32" s="599"/>
      <c r="AN32" s="599"/>
      <c r="AO32" s="599"/>
    </row>
    <row r="33" spans="1:41" ht="15.75">
      <c r="A33" s="7"/>
      <c r="B33" s="142"/>
      <c r="E33" s="167"/>
      <c r="F33" s="167"/>
      <c r="G33" s="167"/>
      <c r="H33" s="167"/>
      <c r="I33" s="167"/>
      <c r="J33" s="167"/>
      <c r="K33" s="167"/>
      <c r="L33" s="142"/>
      <c r="M33" s="167"/>
      <c r="N33" s="167"/>
      <c r="O33" s="167"/>
      <c r="P33" s="167"/>
      <c r="Q33" s="167"/>
      <c r="R33" s="142"/>
      <c r="S33" s="142"/>
      <c r="T33" s="142"/>
      <c r="U33" s="142"/>
      <c r="V33" s="142"/>
      <c r="W33" s="599"/>
      <c r="X33" s="599"/>
      <c r="Y33" s="599"/>
      <c r="Z33" s="599"/>
      <c r="AA33" s="599"/>
      <c r="AB33" s="599"/>
      <c r="AC33" s="599"/>
      <c r="AD33" s="599"/>
      <c r="AE33" s="599"/>
      <c r="AF33" s="599"/>
      <c r="AG33" s="599"/>
      <c r="AH33" s="599"/>
      <c r="AI33" s="599"/>
      <c r="AJ33" s="599"/>
      <c r="AK33" s="599"/>
      <c r="AL33" s="599"/>
      <c r="AM33" s="599"/>
      <c r="AN33" s="599"/>
      <c r="AO33" s="599"/>
    </row>
    <row r="34" spans="1:41" ht="15.75">
      <c r="A34" s="7"/>
      <c r="B34" s="142"/>
      <c r="E34" s="167"/>
      <c r="F34" s="167"/>
      <c r="G34" s="167"/>
      <c r="H34" s="167"/>
      <c r="I34" s="167"/>
      <c r="J34" s="167"/>
      <c r="K34" s="167"/>
      <c r="L34" s="142"/>
      <c r="M34" s="167"/>
      <c r="N34" s="167"/>
      <c r="O34" s="167"/>
      <c r="P34" s="167"/>
      <c r="Q34" s="167"/>
      <c r="R34" s="142"/>
      <c r="S34" s="142"/>
      <c r="T34" s="142"/>
      <c r="U34" s="142"/>
      <c r="V34" s="142"/>
      <c r="W34" s="599"/>
      <c r="X34" s="599"/>
      <c r="Y34" s="599"/>
      <c r="Z34" s="599"/>
      <c r="AA34" s="599"/>
      <c r="AB34" s="599"/>
      <c r="AC34" s="599"/>
      <c r="AD34" s="599"/>
      <c r="AE34" s="599"/>
      <c r="AF34" s="599"/>
      <c r="AG34" s="599"/>
      <c r="AH34" s="599"/>
      <c r="AI34" s="599"/>
      <c r="AJ34" s="599"/>
      <c r="AK34" s="599"/>
      <c r="AL34" s="599"/>
      <c r="AM34" s="599"/>
      <c r="AN34" s="599"/>
      <c r="AO34" s="599"/>
    </row>
    <row r="35" spans="1:41" ht="15.75">
      <c r="A35" s="7"/>
      <c r="B35" s="142"/>
      <c r="E35" s="167"/>
      <c r="F35" s="167"/>
      <c r="G35" s="167"/>
      <c r="H35" s="167"/>
      <c r="I35" s="167"/>
      <c r="J35" s="167"/>
      <c r="K35" s="167"/>
      <c r="L35" s="142"/>
      <c r="M35" s="167"/>
      <c r="N35" s="167"/>
      <c r="O35" s="167"/>
      <c r="P35" s="167"/>
      <c r="Q35" s="167"/>
      <c r="R35" s="142"/>
      <c r="S35" s="142"/>
      <c r="T35" s="142"/>
      <c r="U35" s="142"/>
      <c r="V35" s="142"/>
      <c r="W35" s="599"/>
      <c r="X35" s="599"/>
      <c r="Y35" s="599"/>
      <c r="Z35" s="599"/>
      <c r="AA35" s="599"/>
      <c r="AB35" s="599"/>
      <c r="AC35" s="599"/>
      <c r="AD35" s="599"/>
      <c r="AE35" s="599"/>
      <c r="AF35" s="599"/>
      <c r="AG35" s="599"/>
      <c r="AH35" s="599"/>
      <c r="AI35" s="599"/>
      <c r="AJ35" s="599"/>
      <c r="AK35" s="599"/>
      <c r="AL35" s="599"/>
      <c r="AM35" s="599"/>
      <c r="AN35" s="599"/>
      <c r="AO35" s="599"/>
    </row>
    <row r="36" spans="1:41" ht="15.75">
      <c r="A36" s="7"/>
      <c r="B36" s="142"/>
      <c r="E36" s="167"/>
      <c r="F36" s="167"/>
      <c r="G36" s="167"/>
      <c r="H36" s="167"/>
      <c r="I36" s="167"/>
      <c r="J36" s="167"/>
      <c r="K36" s="167"/>
      <c r="L36" s="142"/>
      <c r="M36" s="167"/>
      <c r="N36" s="167"/>
      <c r="O36" s="167"/>
      <c r="P36" s="167"/>
      <c r="Q36" s="167"/>
      <c r="R36" s="142"/>
      <c r="S36" s="142"/>
      <c r="T36" s="142"/>
      <c r="U36" s="142"/>
      <c r="V36" s="142"/>
      <c r="W36" s="599"/>
      <c r="X36" s="599"/>
      <c r="Y36" s="599"/>
      <c r="Z36" s="599"/>
      <c r="AA36" s="599"/>
      <c r="AB36" s="599"/>
      <c r="AC36" s="599"/>
      <c r="AD36" s="599"/>
      <c r="AE36" s="599"/>
      <c r="AF36" s="599"/>
      <c r="AG36" s="599"/>
      <c r="AH36" s="599"/>
      <c r="AI36" s="599"/>
      <c r="AJ36" s="599"/>
      <c r="AK36" s="599"/>
      <c r="AL36" s="599"/>
      <c r="AM36" s="599"/>
      <c r="AN36" s="599"/>
      <c r="AO36" s="599"/>
    </row>
    <row r="37" spans="1:41" ht="15.75">
      <c r="A37" s="7"/>
      <c r="B37" s="142"/>
      <c r="E37" s="167"/>
      <c r="F37" s="167"/>
      <c r="G37" s="167"/>
      <c r="H37" s="167"/>
      <c r="I37" s="167"/>
      <c r="J37" s="167"/>
      <c r="K37" s="167"/>
      <c r="L37" s="142"/>
      <c r="M37" s="167"/>
      <c r="N37" s="167"/>
      <c r="O37" s="167"/>
      <c r="P37" s="167"/>
      <c r="Q37" s="167"/>
      <c r="R37" s="142"/>
      <c r="S37" s="142"/>
      <c r="T37" s="142"/>
      <c r="U37" s="142"/>
      <c r="V37" s="142"/>
      <c r="W37" s="599"/>
      <c r="X37" s="599"/>
      <c r="Y37" s="599"/>
      <c r="Z37" s="599"/>
      <c r="AA37" s="599"/>
      <c r="AB37" s="599"/>
      <c r="AC37" s="599"/>
      <c r="AD37" s="599"/>
      <c r="AE37" s="599"/>
      <c r="AF37" s="599"/>
      <c r="AG37" s="599"/>
      <c r="AH37" s="599"/>
      <c r="AI37" s="599"/>
      <c r="AJ37" s="599"/>
      <c r="AK37" s="599"/>
      <c r="AL37" s="599"/>
      <c r="AM37" s="599"/>
      <c r="AN37" s="599"/>
      <c r="AO37" s="599"/>
    </row>
    <row r="38" spans="1:41" ht="15.75">
      <c r="A38" s="7"/>
      <c r="B38" s="142"/>
      <c r="E38" s="167"/>
      <c r="F38" s="167"/>
      <c r="G38" s="167"/>
      <c r="H38" s="167"/>
      <c r="I38" s="167"/>
      <c r="J38" s="167"/>
      <c r="K38" s="167"/>
      <c r="L38" s="142"/>
      <c r="M38" s="167"/>
      <c r="N38" s="167"/>
      <c r="O38" s="167"/>
      <c r="P38" s="167"/>
      <c r="Q38" s="167"/>
      <c r="R38" s="142"/>
      <c r="S38" s="142"/>
      <c r="T38" s="142"/>
      <c r="U38" s="142"/>
      <c r="V38" s="142"/>
      <c r="W38" s="599"/>
      <c r="X38" s="599"/>
      <c r="Y38" s="599"/>
      <c r="Z38" s="599"/>
      <c r="AA38" s="599"/>
      <c r="AB38" s="599"/>
      <c r="AC38" s="599"/>
      <c r="AD38" s="599"/>
      <c r="AE38" s="599"/>
      <c r="AF38" s="599"/>
      <c r="AG38" s="599"/>
      <c r="AH38" s="599"/>
      <c r="AI38" s="599"/>
      <c r="AJ38" s="599"/>
      <c r="AK38" s="599"/>
      <c r="AL38" s="599"/>
      <c r="AM38" s="599"/>
      <c r="AN38" s="599"/>
      <c r="AO38" s="599"/>
    </row>
    <row r="39" spans="1:41" ht="15.75">
      <c r="A39" s="7"/>
      <c r="B39" s="142"/>
      <c r="E39" s="167"/>
      <c r="F39" s="167"/>
      <c r="G39" s="167"/>
      <c r="H39" s="167"/>
      <c r="I39" s="167"/>
      <c r="J39" s="167"/>
      <c r="K39" s="167"/>
      <c r="L39" s="142"/>
      <c r="M39" s="167"/>
      <c r="N39" s="167"/>
      <c r="O39" s="167"/>
      <c r="P39" s="167"/>
      <c r="Q39" s="167"/>
      <c r="R39" s="142"/>
      <c r="S39" s="142"/>
      <c r="T39" s="142"/>
      <c r="U39" s="142"/>
      <c r="V39" s="142"/>
      <c r="W39" s="599"/>
      <c r="X39" s="599"/>
      <c r="Y39" s="599"/>
      <c r="Z39" s="599"/>
      <c r="AA39" s="599"/>
      <c r="AB39" s="599"/>
      <c r="AC39" s="599"/>
      <c r="AD39" s="599"/>
      <c r="AE39" s="599"/>
      <c r="AF39" s="599"/>
      <c r="AG39" s="599"/>
      <c r="AH39" s="599"/>
      <c r="AI39" s="599"/>
      <c r="AJ39" s="599"/>
      <c r="AK39" s="599"/>
      <c r="AL39" s="599"/>
      <c r="AM39" s="599"/>
      <c r="AN39" s="599"/>
      <c r="AO39" s="599"/>
    </row>
    <row r="40" spans="9:41" ht="15.75">
      <c r="I40" s="167"/>
      <c r="J40" s="167"/>
      <c r="K40" s="167"/>
      <c r="L40" s="142"/>
      <c r="M40" s="167"/>
      <c r="N40" s="167"/>
      <c r="O40" s="167"/>
      <c r="P40" s="167"/>
      <c r="Q40" s="167"/>
      <c r="R40" s="142"/>
      <c r="S40" s="142"/>
      <c r="T40" s="142"/>
      <c r="U40" s="142"/>
      <c r="V40" s="142"/>
      <c r="W40" s="599"/>
      <c r="X40" s="599"/>
      <c r="Y40" s="599"/>
      <c r="Z40" s="599"/>
      <c r="AA40" s="599"/>
      <c r="AB40" s="599"/>
      <c r="AC40" s="599"/>
      <c r="AD40" s="599"/>
      <c r="AE40" s="599"/>
      <c r="AF40" s="599"/>
      <c r="AG40" s="599"/>
      <c r="AH40" s="599"/>
      <c r="AI40" s="599"/>
      <c r="AJ40" s="599"/>
      <c r="AK40" s="599"/>
      <c r="AL40" s="599"/>
      <c r="AM40" s="599"/>
      <c r="AN40" s="599"/>
      <c r="AO40" s="599"/>
    </row>
    <row r="41" spans="1:41" ht="15.75">
      <c r="A41" s="7"/>
      <c r="B41" s="142"/>
      <c r="E41" s="167"/>
      <c r="F41" s="167"/>
      <c r="G41" s="167"/>
      <c r="H41" s="167"/>
      <c r="I41" s="167"/>
      <c r="J41" s="167"/>
      <c r="K41" s="167"/>
      <c r="L41" s="142"/>
      <c r="M41" s="167"/>
      <c r="N41" s="167"/>
      <c r="O41" s="167"/>
      <c r="P41" s="167"/>
      <c r="Q41" s="167"/>
      <c r="R41" s="142"/>
      <c r="S41" s="142"/>
      <c r="T41" s="142"/>
      <c r="U41" s="142"/>
      <c r="V41" s="142"/>
      <c r="W41" s="599"/>
      <c r="X41" s="599"/>
      <c r="Y41" s="599"/>
      <c r="Z41" s="599"/>
      <c r="AA41" s="599"/>
      <c r="AB41" s="599"/>
      <c r="AC41" s="599"/>
      <c r="AD41" s="599"/>
      <c r="AE41" s="599"/>
      <c r="AF41" s="599"/>
      <c r="AG41" s="599"/>
      <c r="AH41" s="599"/>
      <c r="AI41" s="599"/>
      <c r="AJ41" s="599"/>
      <c r="AK41" s="599"/>
      <c r="AL41" s="599"/>
      <c r="AM41" s="599"/>
      <c r="AN41" s="599"/>
      <c r="AO41" s="599"/>
    </row>
    <row r="42" spans="1:41" ht="15.75">
      <c r="A42" s="7"/>
      <c r="B42" s="142"/>
      <c r="E42" s="167"/>
      <c r="F42" s="167"/>
      <c r="G42" s="167"/>
      <c r="H42" s="167"/>
      <c r="I42" s="167"/>
      <c r="J42" s="167"/>
      <c r="K42" s="167"/>
      <c r="L42" s="142"/>
      <c r="M42" s="167"/>
      <c r="N42" s="167"/>
      <c r="O42" s="167"/>
      <c r="P42" s="167"/>
      <c r="Q42" s="167"/>
      <c r="R42" s="142"/>
      <c r="S42" s="142"/>
      <c r="T42" s="142"/>
      <c r="U42" s="142"/>
      <c r="V42" s="142"/>
      <c r="W42" s="599"/>
      <c r="X42" s="599"/>
      <c r="Y42" s="599"/>
      <c r="Z42" s="599"/>
      <c r="AA42" s="599"/>
      <c r="AB42" s="599"/>
      <c r="AC42" s="599"/>
      <c r="AD42" s="599"/>
      <c r="AE42" s="599"/>
      <c r="AF42" s="599"/>
      <c r="AG42" s="599"/>
      <c r="AH42" s="599"/>
      <c r="AI42" s="599"/>
      <c r="AJ42" s="599"/>
      <c r="AK42" s="599"/>
      <c r="AL42" s="599"/>
      <c r="AM42" s="599"/>
      <c r="AN42" s="599"/>
      <c r="AO42" s="599"/>
    </row>
    <row r="43" spans="1:41" ht="15.75">
      <c r="A43" s="7"/>
      <c r="B43" s="142"/>
      <c r="E43" s="167"/>
      <c r="F43" s="167"/>
      <c r="G43" s="167"/>
      <c r="H43" s="167"/>
      <c r="I43" s="167"/>
      <c r="J43" s="167"/>
      <c r="K43" s="167"/>
      <c r="L43" s="142"/>
      <c r="M43" s="167"/>
      <c r="N43" s="167"/>
      <c r="O43" s="167"/>
      <c r="P43" s="167"/>
      <c r="Q43" s="167"/>
      <c r="R43" s="142"/>
      <c r="S43" s="142"/>
      <c r="T43" s="142"/>
      <c r="U43" s="142"/>
      <c r="V43" s="142"/>
      <c r="W43" s="599"/>
      <c r="X43" s="599"/>
      <c r="Y43" s="599"/>
      <c r="Z43" s="599"/>
      <c r="AA43" s="599"/>
      <c r="AB43" s="599"/>
      <c r="AC43" s="599"/>
      <c r="AD43" s="599"/>
      <c r="AE43" s="599"/>
      <c r="AF43" s="599"/>
      <c r="AG43" s="599"/>
      <c r="AH43" s="599"/>
      <c r="AI43" s="599"/>
      <c r="AJ43" s="599"/>
      <c r="AK43" s="599"/>
      <c r="AL43" s="599"/>
      <c r="AM43" s="599"/>
      <c r="AN43" s="599"/>
      <c r="AO43" s="599"/>
    </row>
    <row r="44" spans="1:41" ht="15.75">
      <c r="A44" s="7"/>
      <c r="B44" s="142"/>
      <c r="E44" s="167"/>
      <c r="F44" s="167"/>
      <c r="G44" s="167"/>
      <c r="H44" s="167"/>
      <c r="I44" s="167"/>
      <c r="J44" s="167"/>
      <c r="K44" s="167"/>
      <c r="L44" s="142"/>
      <c r="M44" s="167"/>
      <c r="N44" s="167"/>
      <c r="O44" s="167"/>
      <c r="P44" s="167"/>
      <c r="Q44" s="167"/>
      <c r="R44" s="142"/>
      <c r="S44" s="142"/>
      <c r="T44" s="142"/>
      <c r="U44" s="142"/>
      <c r="V44" s="142"/>
      <c r="W44" s="599"/>
      <c r="X44" s="599"/>
      <c r="Y44" s="599"/>
      <c r="Z44" s="599"/>
      <c r="AA44" s="599"/>
      <c r="AB44" s="599"/>
      <c r="AC44" s="599"/>
      <c r="AD44" s="599"/>
      <c r="AE44" s="599"/>
      <c r="AF44" s="599"/>
      <c r="AG44" s="599"/>
      <c r="AH44" s="599"/>
      <c r="AI44" s="599"/>
      <c r="AJ44" s="599"/>
      <c r="AK44" s="599"/>
      <c r="AL44" s="599"/>
      <c r="AM44" s="599"/>
      <c r="AN44" s="599"/>
      <c r="AO44" s="599"/>
    </row>
    <row r="45" spans="1:41" ht="15.75">
      <c r="A45" s="7"/>
      <c r="B45" s="142"/>
      <c r="E45" s="167"/>
      <c r="F45" s="167"/>
      <c r="G45" s="167"/>
      <c r="H45" s="167"/>
      <c r="I45" s="167"/>
      <c r="J45" s="167"/>
      <c r="K45" s="167"/>
      <c r="L45" s="142"/>
      <c r="M45" s="167"/>
      <c r="N45" s="167"/>
      <c r="O45" s="167"/>
      <c r="P45" s="167"/>
      <c r="Q45" s="167"/>
      <c r="R45" s="142"/>
      <c r="S45" s="142"/>
      <c r="T45" s="142"/>
      <c r="U45" s="142"/>
      <c r="V45" s="142"/>
      <c r="W45" s="599"/>
      <c r="X45" s="599"/>
      <c r="Y45" s="599"/>
      <c r="Z45" s="599"/>
      <c r="AA45" s="599"/>
      <c r="AB45" s="599"/>
      <c r="AC45" s="599"/>
      <c r="AD45" s="599"/>
      <c r="AE45" s="599"/>
      <c r="AF45" s="599"/>
      <c r="AG45" s="599"/>
      <c r="AH45" s="599"/>
      <c r="AI45" s="599"/>
      <c r="AJ45" s="599"/>
      <c r="AK45" s="599"/>
      <c r="AL45" s="599"/>
      <c r="AM45" s="599"/>
      <c r="AN45" s="599"/>
      <c r="AO45" s="599"/>
    </row>
    <row r="46" spans="1:41" ht="15.75">
      <c r="A46" s="7"/>
      <c r="B46" s="142"/>
      <c r="E46" s="167"/>
      <c r="F46" s="167"/>
      <c r="G46" s="167"/>
      <c r="H46" s="167"/>
      <c r="I46" s="167"/>
      <c r="J46" s="167"/>
      <c r="K46" s="167"/>
      <c r="L46" s="142"/>
      <c r="M46" s="167"/>
      <c r="N46" s="167"/>
      <c r="O46" s="167"/>
      <c r="P46" s="167"/>
      <c r="Q46" s="167"/>
      <c r="R46" s="142"/>
      <c r="S46" s="142"/>
      <c r="T46" s="142"/>
      <c r="U46" s="142"/>
      <c r="V46" s="142"/>
      <c r="W46" s="599"/>
      <c r="X46" s="599"/>
      <c r="Y46" s="599"/>
      <c r="Z46" s="599"/>
      <c r="AA46" s="599"/>
      <c r="AB46" s="599"/>
      <c r="AC46" s="599"/>
      <c r="AD46" s="599"/>
      <c r="AE46" s="599"/>
      <c r="AF46" s="599"/>
      <c r="AG46" s="599"/>
      <c r="AH46" s="599"/>
      <c r="AI46" s="599"/>
      <c r="AJ46" s="599"/>
      <c r="AK46" s="599"/>
      <c r="AL46" s="599"/>
      <c r="AM46" s="599"/>
      <c r="AN46" s="599"/>
      <c r="AO46" s="599"/>
    </row>
    <row r="47" spans="1:41" ht="15.75">
      <c r="A47" s="7"/>
      <c r="B47" s="142"/>
      <c r="E47" s="167"/>
      <c r="F47" s="167"/>
      <c r="G47" s="167"/>
      <c r="H47" s="167"/>
      <c r="I47" s="167"/>
      <c r="J47" s="167"/>
      <c r="K47" s="167"/>
      <c r="L47" s="142"/>
      <c r="M47" s="167"/>
      <c r="N47" s="167"/>
      <c r="O47" s="167"/>
      <c r="P47" s="167"/>
      <c r="Q47" s="167"/>
      <c r="R47" s="142"/>
      <c r="S47" s="142"/>
      <c r="T47" s="142"/>
      <c r="U47" s="142"/>
      <c r="V47" s="142"/>
      <c r="W47" s="599"/>
      <c r="X47" s="599"/>
      <c r="Y47" s="599"/>
      <c r="Z47" s="599"/>
      <c r="AA47" s="599"/>
      <c r="AB47" s="599"/>
      <c r="AC47" s="599"/>
      <c r="AD47" s="599"/>
      <c r="AE47" s="599"/>
      <c r="AF47" s="599"/>
      <c r="AG47" s="599"/>
      <c r="AH47" s="599"/>
      <c r="AI47" s="599"/>
      <c r="AJ47" s="599"/>
      <c r="AK47" s="599"/>
      <c r="AL47" s="599"/>
      <c r="AM47" s="599"/>
      <c r="AN47" s="599"/>
      <c r="AO47" s="599"/>
    </row>
    <row r="48" spans="1:41" ht="15.75">
      <c r="A48" s="7"/>
      <c r="B48" s="142"/>
      <c r="E48" s="167"/>
      <c r="F48" s="167"/>
      <c r="G48" s="167"/>
      <c r="H48" s="167"/>
      <c r="I48" s="167"/>
      <c r="J48" s="167"/>
      <c r="K48" s="167"/>
      <c r="L48" s="142"/>
      <c r="M48" s="167"/>
      <c r="N48" s="167"/>
      <c r="O48" s="167"/>
      <c r="P48" s="167"/>
      <c r="Q48" s="167"/>
      <c r="R48" s="142"/>
      <c r="S48" s="142"/>
      <c r="T48" s="142"/>
      <c r="U48" s="142"/>
      <c r="V48" s="142"/>
      <c r="W48" s="599"/>
      <c r="X48" s="599"/>
      <c r="Y48" s="599"/>
      <c r="Z48" s="599"/>
      <c r="AA48" s="599"/>
      <c r="AB48" s="599"/>
      <c r="AC48" s="599"/>
      <c r="AD48" s="599"/>
      <c r="AE48" s="599"/>
      <c r="AF48" s="599"/>
      <c r="AG48" s="599"/>
      <c r="AH48" s="599"/>
      <c r="AI48" s="599"/>
      <c r="AJ48" s="599"/>
      <c r="AK48" s="599"/>
      <c r="AL48" s="599"/>
      <c r="AM48" s="599"/>
      <c r="AN48" s="599"/>
      <c r="AO48" s="599"/>
    </row>
    <row r="49" spans="1:41" ht="15.75">
      <c r="A49" s="7"/>
      <c r="B49" s="142"/>
      <c r="E49" s="167"/>
      <c r="F49" s="167"/>
      <c r="G49" s="167"/>
      <c r="H49" s="167"/>
      <c r="I49" s="167"/>
      <c r="J49" s="167"/>
      <c r="K49" s="167"/>
      <c r="L49" s="142"/>
      <c r="M49" s="167"/>
      <c r="N49" s="167"/>
      <c r="O49" s="167"/>
      <c r="P49" s="167"/>
      <c r="Q49" s="167"/>
      <c r="R49" s="142"/>
      <c r="S49" s="142"/>
      <c r="T49" s="142"/>
      <c r="U49" s="142"/>
      <c r="V49" s="142"/>
      <c r="W49" s="599"/>
      <c r="X49" s="599"/>
      <c r="Y49" s="599"/>
      <c r="Z49" s="599"/>
      <c r="AA49" s="599"/>
      <c r="AB49" s="599"/>
      <c r="AC49" s="599"/>
      <c r="AD49" s="599"/>
      <c r="AE49" s="599"/>
      <c r="AF49" s="599"/>
      <c r="AG49" s="599"/>
      <c r="AH49" s="599"/>
      <c r="AI49" s="599"/>
      <c r="AJ49" s="599"/>
      <c r="AK49" s="599"/>
      <c r="AL49" s="599"/>
      <c r="AM49" s="599"/>
      <c r="AN49" s="599"/>
      <c r="AO49" s="599"/>
    </row>
    <row r="50" spans="1:41" ht="15.75">
      <c r="A50" s="7"/>
      <c r="B50" s="142"/>
      <c r="E50" s="167"/>
      <c r="F50" s="167"/>
      <c r="G50" s="167"/>
      <c r="H50" s="167"/>
      <c r="I50" s="167"/>
      <c r="J50" s="167"/>
      <c r="K50" s="167"/>
      <c r="L50" s="142"/>
      <c r="M50" s="167"/>
      <c r="N50" s="167"/>
      <c r="O50" s="167"/>
      <c r="P50" s="167"/>
      <c r="Q50" s="167"/>
      <c r="R50" s="142"/>
      <c r="S50" s="142"/>
      <c r="T50" s="142"/>
      <c r="U50" s="142"/>
      <c r="V50" s="142"/>
      <c r="W50" s="599"/>
      <c r="X50" s="599"/>
      <c r="Y50" s="599"/>
      <c r="Z50" s="599"/>
      <c r="AA50" s="599"/>
      <c r="AB50" s="599"/>
      <c r="AC50" s="599"/>
      <c r="AD50" s="599"/>
      <c r="AE50" s="599"/>
      <c r="AF50" s="599"/>
      <c r="AG50" s="599"/>
      <c r="AH50" s="599"/>
      <c r="AI50" s="599"/>
      <c r="AJ50" s="599"/>
      <c r="AK50" s="599"/>
      <c r="AL50" s="599"/>
      <c r="AM50" s="599"/>
      <c r="AN50" s="599"/>
      <c r="AO50" s="599"/>
    </row>
    <row r="51" spans="1:41" ht="15.75">
      <c r="A51" s="7"/>
      <c r="B51" s="142"/>
      <c r="E51" s="167"/>
      <c r="F51" s="167"/>
      <c r="G51" s="167"/>
      <c r="H51" s="167"/>
      <c r="I51" s="167"/>
      <c r="J51" s="167"/>
      <c r="K51" s="167"/>
      <c r="L51" s="142"/>
      <c r="M51" s="167"/>
      <c r="N51" s="167"/>
      <c r="O51" s="167"/>
      <c r="P51" s="167"/>
      <c r="Q51" s="167"/>
      <c r="R51" s="142"/>
      <c r="S51" s="142"/>
      <c r="T51" s="142"/>
      <c r="U51" s="142"/>
      <c r="V51" s="142"/>
      <c r="W51" s="599"/>
      <c r="X51" s="599"/>
      <c r="Y51" s="599"/>
      <c r="Z51" s="599"/>
      <c r="AA51" s="599"/>
      <c r="AB51" s="599"/>
      <c r="AC51" s="599"/>
      <c r="AD51" s="599"/>
      <c r="AE51" s="599"/>
      <c r="AF51" s="599"/>
      <c r="AG51" s="599"/>
      <c r="AH51" s="599"/>
      <c r="AI51" s="599"/>
      <c r="AJ51" s="599"/>
      <c r="AK51" s="599"/>
      <c r="AL51" s="599"/>
      <c r="AM51" s="599"/>
      <c r="AN51" s="599"/>
      <c r="AO51" s="599"/>
    </row>
    <row r="52" spans="1:41" ht="15.75">
      <c r="A52" s="7"/>
      <c r="B52" s="142"/>
      <c r="E52" s="167"/>
      <c r="F52" s="167"/>
      <c r="G52" s="167"/>
      <c r="H52" s="167"/>
      <c r="I52" s="167"/>
      <c r="J52" s="167"/>
      <c r="K52" s="167"/>
      <c r="L52" s="142"/>
      <c r="M52" s="167"/>
      <c r="N52" s="167"/>
      <c r="O52" s="167"/>
      <c r="P52" s="167"/>
      <c r="Q52" s="167"/>
      <c r="R52" s="142"/>
      <c r="S52" s="142"/>
      <c r="T52" s="142"/>
      <c r="U52" s="142"/>
      <c r="V52" s="142"/>
      <c r="W52" s="599"/>
      <c r="X52" s="599"/>
      <c r="Y52" s="599"/>
      <c r="Z52" s="599"/>
      <c r="AA52" s="599"/>
      <c r="AB52" s="599"/>
      <c r="AC52" s="599"/>
      <c r="AD52" s="599"/>
      <c r="AE52" s="599"/>
      <c r="AF52" s="599"/>
      <c r="AG52" s="599"/>
      <c r="AH52" s="599"/>
      <c r="AI52" s="599"/>
      <c r="AJ52" s="599"/>
      <c r="AK52" s="599"/>
      <c r="AL52" s="599"/>
      <c r="AM52" s="599"/>
      <c r="AN52" s="599"/>
      <c r="AO52" s="599"/>
    </row>
    <row r="53" spans="1:41" ht="15.75">
      <c r="A53" s="7"/>
      <c r="B53" s="142"/>
      <c r="E53" s="167"/>
      <c r="F53" s="167"/>
      <c r="G53" s="167"/>
      <c r="H53" s="167"/>
      <c r="I53" s="167"/>
      <c r="J53" s="167"/>
      <c r="K53" s="167"/>
      <c r="L53" s="142"/>
      <c r="M53" s="167"/>
      <c r="N53" s="167"/>
      <c r="O53" s="167"/>
      <c r="P53" s="167"/>
      <c r="Q53" s="167"/>
      <c r="R53" s="142"/>
      <c r="S53" s="142"/>
      <c r="T53" s="142"/>
      <c r="U53" s="142"/>
      <c r="V53" s="142"/>
      <c r="W53" s="599"/>
      <c r="X53" s="599"/>
      <c r="Y53" s="599"/>
      <c r="Z53" s="599"/>
      <c r="AA53" s="599"/>
      <c r="AB53" s="599"/>
      <c r="AC53" s="599"/>
      <c r="AD53" s="599"/>
      <c r="AE53" s="599"/>
      <c r="AF53" s="599"/>
      <c r="AG53" s="599"/>
      <c r="AH53" s="599"/>
      <c r="AI53" s="599"/>
      <c r="AJ53" s="599"/>
      <c r="AK53" s="599"/>
      <c r="AL53" s="599"/>
      <c r="AM53" s="599"/>
      <c r="AN53" s="599"/>
      <c r="AO53" s="599"/>
    </row>
    <row r="54" spans="1:41" ht="15.75">
      <c r="A54" s="7"/>
      <c r="B54" s="142"/>
      <c r="E54" s="167"/>
      <c r="F54" s="167"/>
      <c r="G54" s="167"/>
      <c r="H54" s="167"/>
      <c r="I54" s="167"/>
      <c r="J54" s="167"/>
      <c r="K54" s="167"/>
      <c r="L54" s="142"/>
      <c r="M54" s="167"/>
      <c r="N54" s="167"/>
      <c r="O54" s="167"/>
      <c r="P54" s="167"/>
      <c r="Q54" s="167"/>
      <c r="R54" s="142"/>
      <c r="S54" s="142"/>
      <c r="T54" s="142"/>
      <c r="U54" s="142"/>
      <c r="V54" s="142"/>
      <c r="W54" s="599"/>
      <c r="X54" s="599"/>
      <c r="Y54" s="599"/>
      <c r="Z54" s="599"/>
      <c r="AA54" s="599"/>
      <c r="AB54" s="599"/>
      <c r="AC54" s="599"/>
      <c r="AD54" s="599"/>
      <c r="AE54" s="599"/>
      <c r="AF54" s="599"/>
      <c r="AG54" s="599"/>
      <c r="AH54" s="599"/>
      <c r="AI54" s="599"/>
      <c r="AJ54" s="599"/>
      <c r="AK54" s="599"/>
      <c r="AL54" s="599"/>
      <c r="AM54" s="599"/>
      <c r="AN54" s="599"/>
      <c r="AO54" s="599"/>
    </row>
    <row r="55" spans="1:41" ht="15.75">
      <c r="A55" s="7"/>
      <c r="B55" s="142"/>
      <c r="E55" s="167"/>
      <c r="F55" s="167"/>
      <c r="G55" s="167"/>
      <c r="H55" s="167"/>
      <c r="I55" s="167"/>
      <c r="J55" s="167"/>
      <c r="K55" s="167"/>
      <c r="L55" s="142"/>
      <c r="M55" s="167"/>
      <c r="N55" s="167"/>
      <c r="O55" s="167"/>
      <c r="P55" s="167"/>
      <c r="Q55" s="167"/>
      <c r="R55" s="142"/>
      <c r="S55" s="142"/>
      <c r="T55" s="142"/>
      <c r="U55" s="142"/>
      <c r="V55" s="142"/>
      <c r="W55" s="599"/>
      <c r="X55" s="599"/>
      <c r="Y55" s="599"/>
      <c r="Z55" s="599"/>
      <c r="AA55" s="599"/>
      <c r="AB55" s="599"/>
      <c r="AC55" s="599"/>
      <c r="AD55" s="599"/>
      <c r="AE55" s="599"/>
      <c r="AF55" s="599"/>
      <c r="AG55" s="599"/>
      <c r="AH55" s="599"/>
      <c r="AI55" s="599"/>
      <c r="AJ55" s="599"/>
      <c r="AK55" s="599"/>
      <c r="AL55" s="599"/>
      <c r="AM55" s="599"/>
      <c r="AN55" s="599"/>
      <c r="AO55" s="599"/>
    </row>
    <row r="56" spans="1:41" ht="15.75">
      <c r="A56" s="7"/>
      <c r="B56" s="142"/>
      <c r="E56" s="167"/>
      <c r="F56" s="167"/>
      <c r="G56" s="167"/>
      <c r="H56" s="167"/>
      <c r="I56" s="167"/>
      <c r="J56" s="167"/>
      <c r="K56" s="167"/>
      <c r="L56" s="142"/>
      <c r="M56" s="167"/>
      <c r="N56" s="167"/>
      <c r="O56" s="167"/>
      <c r="P56" s="167"/>
      <c r="Q56" s="167"/>
      <c r="R56" s="142"/>
      <c r="S56" s="142"/>
      <c r="T56" s="142"/>
      <c r="U56" s="142"/>
      <c r="V56" s="142"/>
      <c r="W56" s="599"/>
      <c r="X56" s="599"/>
      <c r="Y56" s="599"/>
      <c r="Z56" s="599"/>
      <c r="AA56" s="599"/>
      <c r="AB56" s="599"/>
      <c r="AC56" s="599"/>
      <c r="AD56" s="599"/>
      <c r="AE56" s="599"/>
      <c r="AF56" s="599"/>
      <c r="AG56" s="599"/>
      <c r="AH56" s="599"/>
      <c r="AI56" s="599"/>
      <c r="AJ56" s="599"/>
      <c r="AK56" s="599"/>
      <c r="AL56" s="599"/>
      <c r="AM56" s="599"/>
      <c r="AN56" s="599"/>
      <c r="AO56" s="599"/>
    </row>
    <row r="57" spans="1:41" ht="15.75">
      <c r="A57" s="7"/>
      <c r="B57" s="142"/>
      <c r="E57" s="167"/>
      <c r="F57" s="167"/>
      <c r="G57" s="167"/>
      <c r="H57" s="167"/>
      <c r="I57" s="167"/>
      <c r="J57" s="167"/>
      <c r="K57" s="167"/>
      <c r="L57" s="142"/>
      <c r="M57" s="167"/>
      <c r="N57" s="167"/>
      <c r="O57" s="167"/>
      <c r="P57" s="167"/>
      <c r="Q57" s="167"/>
      <c r="R57" s="142"/>
      <c r="S57" s="142"/>
      <c r="T57" s="142"/>
      <c r="U57" s="142"/>
      <c r="V57" s="142"/>
      <c r="W57" s="599"/>
      <c r="X57" s="599"/>
      <c r="Y57" s="599"/>
      <c r="Z57" s="599"/>
      <c r="AA57" s="599"/>
      <c r="AB57" s="599"/>
      <c r="AC57" s="599"/>
      <c r="AD57" s="599"/>
      <c r="AE57" s="599"/>
      <c r="AF57" s="599"/>
      <c r="AG57" s="599"/>
      <c r="AH57" s="599"/>
      <c r="AI57" s="599"/>
      <c r="AJ57" s="599"/>
      <c r="AK57" s="599"/>
      <c r="AL57" s="599"/>
      <c r="AM57" s="599"/>
      <c r="AN57" s="599"/>
      <c r="AO57" s="599"/>
    </row>
    <row r="58" spans="1:41" ht="15.75">
      <c r="A58" s="7"/>
      <c r="B58" s="142"/>
      <c r="E58" s="167"/>
      <c r="F58" s="167"/>
      <c r="G58" s="167"/>
      <c r="H58" s="167"/>
      <c r="I58" s="167"/>
      <c r="J58" s="167"/>
      <c r="K58" s="167"/>
      <c r="L58" s="142"/>
      <c r="M58" s="167"/>
      <c r="N58" s="167"/>
      <c r="O58" s="167"/>
      <c r="P58" s="167"/>
      <c r="Q58" s="167"/>
      <c r="R58" s="142"/>
      <c r="S58" s="142"/>
      <c r="T58" s="142"/>
      <c r="U58" s="142"/>
      <c r="V58" s="142"/>
      <c r="W58" s="599"/>
      <c r="X58" s="599"/>
      <c r="Y58" s="599"/>
      <c r="Z58" s="599"/>
      <c r="AA58" s="599"/>
      <c r="AB58" s="599"/>
      <c r="AC58" s="599"/>
      <c r="AD58" s="599"/>
      <c r="AE58" s="599"/>
      <c r="AF58" s="599"/>
      <c r="AG58" s="599"/>
      <c r="AH58" s="599"/>
      <c r="AI58" s="599"/>
      <c r="AJ58" s="599"/>
      <c r="AK58" s="599"/>
      <c r="AL58" s="599"/>
      <c r="AM58" s="599"/>
      <c r="AN58" s="599"/>
      <c r="AO58" s="599"/>
    </row>
    <row r="59" spans="1:41" ht="15.75">
      <c r="A59" s="7"/>
      <c r="B59" s="142"/>
      <c r="E59" s="167"/>
      <c r="F59" s="167"/>
      <c r="G59" s="167"/>
      <c r="H59" s="167"/>
      <c r="I59" s="167"/>
      <c r="J59" s="167"/>
      <c r="K59" s="167"/>
      <c r="L59" s="142"/>
      <c r="M59" s="167"/>
      <c r="N59" s="167"/>
      <c r="O59" s="167"/>
      <c r="P59" s="167"/>
      <c r="Q59" s="167"/>
      <c r="R59" s="142"/>
      <c r="S59" s="142"/>
      <c r="T59" s="142"/>
      <c r="U59" s="142"/>
      <c r="V59" s="142"/>
      <c r="W59" s="599"/>
      <c r="X59" s="599"/>
      <c r="Y59" s="599"/>
      <c r="Z59" s="599"/>
      <c r="AA59" s="599"/>
      <c r="AB59" s="599"/>
      <c r="AC59" s="599"/>
      <c r="AD59" s="599"/>
      <c r="AE59" s="599"/>
      <c r="AF59" s="599"/>
      <c r="AG59" s="599"/>
      <c r="AH59" s="599"/>
      <c r="AI59" s="599"/>
      <c r="AJ59" s="599"/>
      <c r="AK59" s="599"/>
      <c r="AL59" s="599"/>
      <c r="AM59" s="599"/>
      <c r="AN59" s="599"/>
      <c r="AO59" s="599"/>
    </row>
    <row r="60" spans="1:41" ht="15.75">
      <c r="A60" s="7"/>
      <c r="B60" s="142"/>
      <c r="E60" s="167"/>
      <c r="F60" s="167"/>
      <c r="G60" s="167"/>
      <c r="H60" s="167"/>
      <c r="I60" s="167"/>
      <c r="J60" s="167"/>
      <c r="K60" s="167"/>
      <c r="L60" s="142"/>
      <c r="M60" s="167"/>
      <c r="N60" s="167"/>
      <c r="O60" s="167"/>
      <c r="P60" s="167"/>
      <c r="Q60" s="167"/>
      <c r="R60" s="142"/>
      <c r="S60" s="142"/>
      <c r="T60" s="142"/>
      <c r="U60" s="142"/>
      <c r="V60" s="142"/>
      <c r="W60" s="599"/>
      <c r="X60" s="599"/>
      <c r="Y60" s="599"/>
      <c r="Z60" s="599"/>
      <c r="AA60" s="599"/>
      <c r="AB60" s="599"/>
      <c r="AC60" s="599"/>
      <c r="AD60" s="599"/>
      <c r="AE60" s="599"/>
      <c r="AF60" s="599"/>
      <c r="AG60" s="599"/>
      <c r="AH60" s="599"/>
      <c r="AI60" s="599"/>
      <c r="AJ60" s="599"/>
      <c r="AK60" s="599"/>
      <c r="AL60" s="599"/>
      <c r="AM60" s="599"/>
      <c r="AN60" s="599"/>
      <c r="AO60" s="599"/>
    </row>
    <row r="61" spans="1:41" ht="15.75">
      <c r="A61" s="7"/>
      <c r="B61" s="142"/>
      <c r="E61" s="167"/>
      <c r="F61" s="167"/>
      <c r="G61" s="167"/>
      <c r="H61" s="167"/>
      <c r="I61" s="167"/>
      <c r="J61" s="167"/>
      <c r="K61" s="167"/>
      <c r="L61" s="142"/>
      <c r="M61" s="167"/>
      <c r="N61" s="167"/>
      <c r="O61" s="167"/>
      <c r="P61" s="167"/>
      <c r="Q61" s="167"/>
      <c r="R61" s="142"/>
      <c r="S61" s="142"/>
      <c r="T61" s="142"/>
      <c r="U61" s="142"/>
      <c r="V61" s="142"/>
      <c r="W61" s="599"/>
      <c r="X61" s="599"/>
      <c r="Y61" s="599"/>
      <c r="Z61" s="599"/>
      <c r="AA61" s="599"/>
      <c r="AB61" s="599"/>
      <c r="AC61" s="599"/>
      <c r="AD61" s="599"/>
      <c r="AE61" s="599"/>
      <c r="AF61" s="599"/>
      <c r="AG61" s="599"/>
      <c r="AH61" s="599"/>
      <c r="AI61" s="599"/>
      <c r="AJ61" s="599"/>
      <c r="AK61" s="599"/>
      <c r="AL61" s="599"/>
      <c r="AM61" s="599"/>
      <c r="AN61" s="599"/>
      <c r="AO61" s="599"/>
    </row>
    <row r="62" spans="1:41" ht="15.75">
      <c r="A62" s="7"/>
      <c r="B62" s="142"/>
      <c r="E62" s="167"/>
      <c r="F62" s="167"/>
      <c r="G62" s="167"/>
      <c r="H62" s="167"/>
      <c r="I62" s="167"/>
      <c r="J62" s="167"/>
      <c r="K62" s="167"/>
      <c r="L62" s="142"/>
      <c r="M62" s="167"/>
      <c r="N62" s="167"/>
      <c r="O62" s="167"/>
      <c r="P62" s="167"/>
      <c r="Q62" s="167"/>
      <c r="R62" s="142"/>
      <c r="S62" s="142"/>
      <c r="T62" s="142"/>
      <c r="U62" s="142"/>
      <c r="V62" s="142"/>
      <c r="W62" s="599"/>
      <c r="X62" s="599"/>
      <c r="Y62" s="599"/>
      <c r="Z62" s="599"/>
      <c r="AA62" s="599"/>
      <c r="AB62" s="599"/>
      <c r="AC62" s="599"/>
      <c r="AD62" s="599"/>
      <c r="AE62" s="599"/>
      <c r="AF62" s="599"/>
      <c r="AG62" s="599"/>
      <c r="AH62" s="599"/>
      <c r="AI62" s="599"/>
      <c r="AJ62" s="599"/>
      <c r="AK62" s="599"/>
      <c r="AL62" s="599"/>
      <c r="AM62" s="599"/>
      <c r="AN62" s="599"/>
      <c r="AO62" s="599"/>
    </row>
    <row r="63" spans="1:41" ht="15.75">
      <c r="A63" s="7"/>
      <c r="B63" s="142"/>
      <c r="E63" s="167"/>
      <c r="F63" s="167"/>
      <c r="G63" s="167"/>
      <c r="H63" s="167"/>
      <c r="I63" s="167"/>
      <c r="J63" s="167"/>
      <c r="K63" s="167"/>
      <c r="L63" s="142"/>
      <c r="M63" s="167"/>
      <c r="N63" s="167"/>
      <c r="O63" s="167"/>
      <c r="P63" s="167"/>
      <c r="Q63" s="167"/>
      <c r="R63" s="142"/>
      <c r="S63" s="142"/>
      <c r="T63" s="142"/>
      <c r="U63" s="142"/>
      <c r="V63" s="142"/>
      <c r="W63" s="599"/>
      <c r="X63" s="599"/>
      <c r="Y63" s="599"/>
      <c r="Z63" s="599"/>
      <c r="AA63" s="599"/>
      <c r="AB63" s="599"/>
      <c r="AC63" s="599"/>
      <c r="AD63" s="599"/>
      <c r="AE63" s="599"/>
      <c r="AF63" s="599"/>
      <c r="AG63" s="599"/>
      <c r="AH63" s="599"/>
      <c r="AI63" s="599"/>
      <c r="AJ63" s="599"/>
      <c r="AK63" s="599"/>
      <c r="AL63" s="599"/>
      <c r="AM63" s="599"/>
      <c r="AN63" s="599"/>
      <c r="AO63" s="599"/>
    </row>
    <row r="64" spans="1:41" ht="15.75">
      <c r="A64" s="7"/>
      <c r="B64" s="142"/>
      <c r="E64" s="167"/>
      <c r="F64" s="167"/>
      <c r="G64" s="167"/>
      <c r="H64" s="167"/>
      <c r="I64" s="167"/>
      <c r="J64" s="167"/>
      <c r="K64" s="167"/>
      <c r="L64" s="142"/>
      <c r="M64" s="167"/>
      <c r="N64" s="167"/>
      <c r="O64" s="167"/>
      <c r="P64" s="167"/>
      <c r="Q64" s="167"/>
      <c r="R64" s="142"/>
      <c r="S64" s="142"/>
      <c r="T64" s="142"/>
      <c r="U64" s="142"/>
      <c r="V64" s="142"/>
      <c r="W64" s="599"/>
      <c r="X64" s="599"/>
      <c r="Y64" s="599"/>
      <c r="Z64" s="599"/>
      <c r="AA64" s="599"/>
      <c r="AB64" s="599"/>
      <c r="AC64" s="599"/>
      <c r="AD64" s="599"/>
      <c r="AE64" s="599"/>
      <c r="AF64" s="599"/>
      <c r="AG64" s="599"/>
      <c r="AH64" s="599"/>
      <c r="AI64" s="599"/>
      <c r="AJ64" s="599"/>
      <c r="AK64" s="599"/>
      <c r="AL64" s="599"/>
      <c r="AM64" s="599"/>
      <c r="AN64" s="599"/>
      <c r="AO64" s="599"/>
    </row>
    <row r="65" spans="1:41" ht="15.75">
      <c r="A65" s="7"/>
      <c r="B65" s="142"/>
      <c r="E65" s="167"/>
      <c r="F65" s="167"/>
      <c r="G65" s="167"/>
      <c r="H65" s="167"/>
      <c r="I65" s="167"/>
      <c r="J65" s="167"/>
      <c r="K65" s="167"/>
      <c r="L65" s="142"/>
      <c r="M65" s="167"/>
      <c r="N65" s="167"/>
      <c r="O65" s="167"/>
      <c r="P65" s="167"/>
      <c r="Q65" s="167"/>
      <c r="R65" s="142"/>
      <c r="S65" s="142"/>
      <c r="T65" s="142"/>
      <c r="U65" s="142"/>
      <c r="V65" s="142"/>
      <c r="W65" s="599"/>
      <c r="X65" s="599"/>
      <c r="Y65" s="599"/>
      <c r="Z65" s="599"/>
      <c r="AA65" s="599"/>
      <c r="AB65" s="599"/>
      <c r="AC65" s="599"/>
      <c r="AD65" s="599"/>
      <c r="AE65" s="599"/>
      <c r="AF65" s="599"/>
      <c r="AG65" s="599"/>
      <c r="AH65" s="599"/>
      <c r="AI65" s="599"/>
      <c r="AJ65" s="599"/>
      <c r="AK65" s="599"/>
      <c r="AL65" s="599"/>
      <c r="AM65" s="599"/>
      <c r="AN65" s="599"/>
      <c r="AO65" s="599"/>
    </row>
    <row r="66" spans="1:41" ht="15.75">
      <c r="A66" s="7"/>
      <c r="B66" s="142"/>
      <c r="E66" s="167"/>
      <c r="F66" s="167"/>
      <c r="G66" s="167"/>
      <c r="H66" s="167"/>
      <c r="I66" s="167"/>
      <c r="J66" s="167"/>
      <c r="K66" s="167"/>
      <c r="L66" s="142"/>
      <c r="M66" s="167"/>
      <c r="N66" s="167"/>
      <c r="O66" s="167"/>
      <c r="P66" s="167"/>
      <c r="Q66" s="167"/>
      <c r="R66" s="142"/>
      <c r="S66" s="142"/>
      <c r="T66" s="142"/>
      <c r="U66" s="142"/>
      <c r="V66" s="142"/>
      <c r="W66" s="599"/>
      <c r="X66" s="599"/>
      <c r="Y66" s="599"/>
      <c r="Z66" s="599"/>
      <c r="AA66" s="599"/>
      <c r="AB66" s="599"/>
      <c r="AC66" s="599"/>
      <c r="AD66" s="599"/>
      <c r="AE66" s="599"/>
      <c r="AF66" s="599"/>
      <c r="AG66" s="599"/>
      <c r="AH66" s="599"/>
      <c r="AI66" s="599"/>
      <c r="AJ66" s="599"/>
      <c r="AK66" s="599"/>
      <c r="AL66" s="599"/>
      <c r="AM66" s="599"/>
      <c r="AN66" s="599"/>
      <c r="AO66" s="599"/>
    </row>
    <row r="67" spans="1:41" ht="15.75">
      <c r="A67" s="7"/>
      <c r="B67" s="142"/>
      <c r="E67" s="167"/>
      <c r="F67" s="167"/>
      <c r="G67" s="167"/>
      <c r="H67" s="167"/>
      <c r="I67" s="167"/>
      <c r="J67" s="167"/>
      <c r="K67" s="167"/>
      <c r="L67" s="142"/>
      <c r="M67" s="167"/>
      <c r="N67" s="167"/>
      <c r="O67" s="167"/>
      <c r="P67" s="167"/>
      <c r="Q67" s="167"/>
      <c r="R67" s="142"/>
      <c r="S67" s="142"/>
      <c r="T67" s="142"/>
      <c r="U67" s="142"/>
      <c r="V67" s="142"/>
      <c r="W67" s="599"/>
      <c r="X67" s="599"/>
      <c r="Y67" s="599"/>
      <c r="Z67" s="599"/>
      <c r="AA67" s="599"/>
      <c r="AB67" s="599"/>
      <c r="AC67" s="599"/>
      <c r="AD67" s="599"/>
      <c r="AE67" s="599"/>
      <c r="AF67" s="599"/>
      <c r="AG67" s="599"/>
      <c r="AH67" s="599"/>
      <c r="AI67" s="599"/>
      <c r="AJ67" s="599"/>
      <c r="AK67" s="599"/>
      <c r="AL67" s="599"/>
      <c r="AM67" s="599"/>
      <c r="AN67" s="599"/>
      <c r="AO67" s="599"/>
    </row>
    <row r="68" spans="1:41" ht="15.75">
      <c r="A68" s="7"/>
      <c r="B68" s="142"/>
      <c r="E68" s="167"/>
      <c r="F68" s="167"/>
      <c r="G68" s="167"/>
      <c r="H68" s="167"/>
      <c r="I68" s="167"/>
      <c r="J68" s="167"/>
      <c r="K68" s="167"/>
      <c r="L68" s="142"/>
      <c r="M68" s="167"/>
      <c r="N68" s="167"/>
      <c r="O68" s="167"/>
      <c r="P68" s="167"/>
      <c r="Q68" s="167"/>
      <c r="R68" s="142"/>
      <c r="S68" s="142"/>
      <c r="T68" s="142"/>
      <c r="U68" s="142"/>
      <c r="V68" s="142"/>
      <c r="W68" s="599"/>
      <c r="X68" s="599"/>
      <c r="Y68" s="599"/>
      <c r="Z68" s="599"/>
      <c r="AA68" s="599"/>
      <c r="AB68" s="599"/>
      <c r="AC68" s="599"/>
      <c r="AD68" s="599"/>
      <c r="AE68" s="599"/>
      <c r="AF68" s="599"/>
      <c r="AG68" s="599"/>
      <c r="AH68" s="599"/>
      <c r="AI68" s="599"/>
      <c r="AJ68" s="599"/>
      <c r="AK68" s="599"/>
      <c r="AL68" s="599"/>
      <c r="AM68" s="599"/>
      <c r="AN68" s="599"/>
      <c r="AO68" s="599"/>
    </row>
    <row r="69" spans="1:41" ht="15.75">
      <c r="A69" s="7"/>
      <c r="B69" s="142"/>
      <c r="E69" s="167"/>
      <c r="F69" s="167"/>
      <c r="G69" s="167"/>
      <c r="H69" s="167"/>
      <c r="I69" s="167"/>
      <c r="J69" s="167"/>
      <c r="K69" s="167"/>
      <c r="L69" s="142"/>
      <c r="M69" s="167"/>
      <c r="N69" s="167"/>
      <c r="O69" s="167"/>
      <c r="P69" s="167"/>
      <c r="Q69" s="167"/>
      <c r="R69" s="142"/>
      <c r="S69" s="142"/>
      <c r="T69" s="142"/>
      <c r="U69" s="142"/>
      <c r="V69" s="142"/>
      <c r="W69" s="599"/>
      <c r="X69" s="599"/>
      <c r="Y69" s="599"/>
      <c r="Z69" s="599"/>
      <c r="AA69" s="599"/>
      <c r="AB69" s="599"/>
      <c r="AC69" s="599"/>
      <c r="AD69" s="599"/>
      <c r="AE69" s="599"/>
      <c r="AF69" s="599"/>
      <c r="AG69" s="599"/>
      <c r="AH69" s="599"/>
      <c r="AI69" s="599"/>
      <c r="AJ69" s="599"/>
      <c r="AK69" s="599"/>
      <c r="AL69" s="599"/>
      <c r="AM69" s="599"/>
      <c r="AN69" s="599"/>
      <c r="AO69" s="599"/>
    </row>
    <row r="70" spans="1:41" ht="15.75">
      <c r="A70" s="7"/>
      <c r="B70" s="142"/>
      <c r="E70" s="167"/>
      <c r="F70" s="167"/>
      <c r="G70" s="167"/>
      <c r="H70" s="167"/>
      <c r="I70" s="167"/>
      <c r="J70" s="167"/>
      <c r="K70" s="167"/>
      <c r="L70" s="142"/>
      <c r="M70" s="167"/>
      <c r="N70" s="167"/>
      <c r="O70" s="167"/>
      <c r="P70" s="167"/>
      <c r="Q70" s="167"/>
      <c r="R70" s="142"/>
      <c r="S70" s="142"/>
      <c r="T70" s="142"/>
      <c r="U70" s="142"/>
      <c r="V70" s="142"/>
      <c r="W70" s="599"/>
      <c r="X70" s="599"/>
      <c r="Y70" s="599"/>
      <c r="Z70" s="599"/>
      <c r="AA70" s="599"/>
      <c r="AB70" s="599"/>
      <c r="AC70" s="599"/>
      <c r="AD70" s="599"/>
      <c r="AE70" s="599"/>
      <c r="AF70" s="599"/>
      <c r="AG70" s="599"/>
      <c r="AH70" s="599"/>
      <c r="AI70" s="599"/>
      <c r="AJ70" s="599"/>
      <c r="AK70" s="599"/>
      <c r="AL70" s="599"/>
      <c r="AM70" s="599"/>
      <c r="AN70" s="599"/>
      <c r="AO70" s="599"/>
    </row>
    <row r="71" spans="1:41" ht="15.75">
      <c r="A71" s="7"/>
      <c r="B71" s="142"/>
      <c r="E71" s="167"/>
      <c r="F71" s="167"/>
      <c r="G71" s="167"/>
      <c r="H71" s="167"/>
      <c r="I71" s="167"/>
      <c r="J71" s="167"/>
      <c r="K71" s="167"/>
      <c r="L71" s="142"/>
      <c r="M71" s="167"/>
      <c r="N71" s="167"/>
      <c r="O71" s="167"/>
      <c r="P71" s="167"/>
      <c r="Q71" s="167"/>
      <c r="R71" s="142"/>
      <c r="S71" s="142"/>
      <c r="T71" s="142"/>
      <c r="U71" s="142"/>
      <c r="V71" s="142"/>
      <c r="W71" s="599"/>
      <c r="X71" s="599"/>
      <c r="Y71" s="599"/>
      <c r="Z71" s="599"/>
      <c r="AA71" s="599"/>
      <c r="AB71" s="599"/>
      <c r="AC71" s="599"/>
      <c r="AD71" s="599"/>
      <c r="AE71" s="599"/>
      <c r="AF71" s="599"/>
      <c r="AG71" s="599"/>
      <c r="AH71" s="599"/>
      <c r="AI71" s="599"/>
      <c r="AJ71" s="599"/>
      <c r="AK71" s="599"/>
      <c r="AL71" s="599"/>
      <c r="AM71" s="599"/>
      <c r="AN71" s="599"/>
      <c r="AO71" s="599"/>
    </row>
    <row r="72" spans="1:41" ht="15.75">
      <c r="A72" s="7"/>
      <c r="B72" s="142"/>
      <c r="E72" s="167"/>
      <c r="F72" s="167"/>
      <c r="G72" s="167"/>
      <c r="H72" s="167"/>
      <c r="I72" s="167"/>
      <c r="J72" s="167"/>
      <c r="K72" s="167"/>
      <c r="L72" s="142"/>
      <c r="M72" s="167"/>
      <c r="N72" s="167"/>
      <c r="O72" s="167"/>
      <c r="P72" s="167"/>
      <c r="Q72" s="167"/>
      <c r="R72" s="142"/>
      <c r="S72" s="142"/>
      <c r="T72" s="142"/>
      <c r="U72" s="142"/>
      <c r="V72" s="142"/>
      <c r="W72" s="599"/>
      <c r="X72" s="599"/>
      <c r="Y72" s="599"/>
      <c r="Z72" s="599"/>
      <c r="AA72" s="599"/>
      <c r="AB72" s="599"/>
      <c r="AC72" s="599"/>
      <c r="AD72" s="599"/>
      <c r="AE72" s="599"/>
      <c r="AF72" s="599"/>
      <c r="AG72" s="599"/>
      <c r="AH72" s="599"/>
      <c r="AI72" s="599"/>
      <c r="AJ72" s="599"/>
      <c r="AK72" s="599"/>
      <c r="AL72" s="599"/>
      <c r="AM72" s="599"/>
      <c r="AN72" s="599"/>
      <c r="AO72" s="599"/>
    </row>
    <row r="73" spans="1:41" ht="15.75">
      <c r="A73" s="7"/>
      <c r="B73" s="142"/>
      <c r="E73" s="167"/>
      <c r="F73" s="167"/>
      <c r="G73" s="167"/>
      <c r="H73" s="167"/>
      <c r="I73" s="167"/>
      <c r="J73" s="167"/>
      <c r="K73" s="167"/>
      <c r="L73" s="142"/>
      <c r="M73" s="167"/>
      <c r="N73" s="167"/>
      <c r="O73" s="167"/>
      <c r="P73" s="167"/>
      <c r="Q73" s="167"/>
      <c r="R73" s="142"/>
      <c r="S73" s="142"/>
      <c r="T73" s="142"/>
      <c r="U73" s="142"/>
      <c r="V73" s="142"/>
      <c r="W73" s="599"/>
      <c r="X73" s="599"/>
      <c r="Y73" s="599"/>
      <c r="Z73" s="599"/>
      <c r="AA73" s="599"/>
      <c r="AB73" s="599"/>
      <c r="AC73" s="599"/>
      <c r="AD73" s="599"/>
      <c r="AE73" s="599"/>
      <c r="AF73" s="599"/>
      <c r="AG73" s="599"/>
      <c r="AH73" s="599"/>
      <c r="AI73" s="599"/>
      <c r="AJ73" s="599"/>
      <c r="AK73" s="599"/>
      <c r="AL73" s="599"/>
      <c r="AM73" s="599"/>
      <c r="AN73" s="599"/>
      <c r="AO73" s="599"/>
    </row>
    <row r="74" spans="1:41" ht="15.75">
      <c r="A74" s="7"/>
      <c r="B74" s="142"/>
      <c r="E74" s="167"/>
      <c r="F74" s="167"/>
      <c r="G74" s="167"/>
      <c r="H74" s="167"/>
      <c r="I74" s="167"/>
      <c r="J74" s="167"/>
      <c r="K74" s="167"/>
      <c r="L74" s="142"/>
      <c r="M74" s="167"/>
      <c r="N74" s="167"/>
      <c r="O74" s="167"/>
      <c r="P74" s="167"/>
      <c r="Q74" s="167"/>
      <c r="R74" s="142"/>
      <c r="S74" s="142"/>
      <c r="T74" s="142"/>
      <c r="U74" s="142"/>
      <c r="V74" s="142"/>
      <c r="W74" s="599"/>
      <c r="X74" s="599"/>
      <c r="Y74" s="599"/>
      <c r="Z74" s="599"/>
      <c r="AA74" s="599"/>
      <c r="AB74" s="599"/>
      <c r="AC74" s="599"/>
      <c r="AD74" s="599"/>
      <c r="AE74" s="599"/>
      <c r="AF74" s="599"/>
      <c r="AG74" s="599"/>
      <c r="AH74" s="599"/>
      <c r="AI74" s="599"/>
      <c r="AJ74" s="599"/>
      <c r="AK74" s="599"/>
      <c r="AL74" s="599"/>
      <c r="AM74" s="599"/>
      <c r="AN74" s="599"/>
      <c r="AO74" s="599"/>
    </row>
    <row r="75" spans="1:41" ht="15.75">
      <c r="A75" s="7"/>
      <c r="B75" s="142"/>
      <c r="E75" s="167"/>
      <c r="F75" s="167"/>
      <c r="G75" s="167"/>
      <c r="H75" s="167"/>
      <c r="I75" s="167"/>
      <c r="J75" s="167"/>
      <c r="K75" s="167"/>
      <c r="L75" s="142"/>
      <c r="M75" s="167"/>
      <c r="N75" s="167"/>
      <c r="O75" s="167"/>
      <c r="P75" s="167"/>
      <c r="Q75" s="167"/>
      <c r="R75" s="142"/>
      <c r="S75" s="142"/>
      <c r="T75" s="142"/>
      <c r="U75" s="142"/>
      <c r="V75" s="142"/>
      <c r="W75" s="599"/>
      <c r="X75" s="599"/>
      <c r="Y75" s="599"/>
      <c r="Z75" s="599"/>
      <c r="AA75" s="599"/>
      <c r="AB75" s="599"/>
      <c r="AC75" s="599"/>
      <c r="AD75" s="599"/>
      <c r="AE75" s="599"/>
      <c r="AF75" s="599"/>
      <c r="AG75" s="599"/>
      <c r="AH75" s="599"/>
      <c r="AI75" s="599"/>
      <c r="AJ75" s="599"/>
      <c r="AK75" s="599"/>
      <c r="AL75" s="599"/>
      <c r="AM75" s="599"/>
      <c r="AN75" s="599"/>
      <c r="AO75" s="599"/>
    </row>
    <row r="76" spans="1:41" ht="15.75">
      <c r="A76" s="7"/>
      <c r="B76" s="142"/>
      <c r="E76" s="167"/>
      <c r="F76" s="167"/>
      <c r="G76" s="167"/>
      <c r="H76" s="167"/>
      <c r="I76" s="167"/>
      <c r="J76" s="167"/>
      <c r="K76" s="167"/>
      <c r="L76" s="142"/>
      <c r="M76" s="167"/>
      <c r="N76" s="167"/>
      <c r="O76" s="167"/>
      <c r="P76" s="167"/>
      <c r="Q76" s="167"/>
      <c r="R76" s="142"/>
      <c r="S76" s="142"/>
      <c r="T76" s="142"/>
      <c r="U76" s="142"/>
      <c r="V76" s="142"/>
      <c r="W76" s="599"/>
      <c r="X76" s="599"/>
      <c r="Y76" s="599"/>
      <c r="Z76" s="599"/>
      <c r="AA76" s="599"/>
      <c r="AB76" s="599"/>
      <c r="AC76" s="599"/>
      <c r="AD76" s="599"/>
      <c r="AE76" s="599"/>
      <c r="AF76" s="599"/>
      <c r="AG76" s="599"/>
      <c r="AH76" s="599"/>
      <c r="AI76" s="599"/>
      <c r="AJ76" s="599"/>
      <c r="AK76" s="599"/>
      <c r="AL76" s="599"/>
      <c r="AM76" s="599"/>
      <c r="AN76" s="599"/>
      <c r="AO76" s="599"/>
    </row>
    <row r="77" spans="1:41" ht="15.75">
      <c r="A77" s="7"/>
      <c r="B77" s="142"/>
      <c r="E77" s="167"/>
      <c r="F77" s="167"/>
      <c r="G77" s="167"/>
      <c r="H77" s="167"/>
      <c r="I77" s="167"/>
      <c r="J77" s="167"/>
      <c r="K77" s="167"/>
      <c r="L77" s="142"/>
      <c r="M77" s="167"/>
      <c r="N77" s="167"/>
      <c r="O77" s="167"/>
      <c r="P77" s="167"/>
      <c r="Q77" s="167"/>
      <c r="R77" s="142"/>
      <c r="S77" s="142"/>
      <c r="T77" s="142"/>
      <c r="U77" s="142"/>
      <c r="V77" s="142"/>
      <c r="W77" s="599"/>
      <c r="X77" s="599"/>
      <c r="Y77" s="599"/>
      <c r="Z77" s="599"/>
      <c r="AA77" s="599"/>
      <c r="AB77" s="599"/>
      <c r="AC77" s="599"/>
      <c r="AD77" s="599"/>
      <c r="AE77" s="599"/>
      <c r="AF77" s="599"/>
      <c r="AG77" s="599"/>
      <c r="AH77" s="599"/>
      <c r="AI77" s="599"/>
      <c r="AJ77" s="599"/>
      <c r="AK77" s="599"/>
      <c r="AL77" s="599"/>
      <c r="AM77" s="599"/>
      <c r="AN77" s="599"/>
      <c r="AO77" s="599"/>
    </row>
    <row r="78" spans="1:41" ht="15.75">
      <c r="A78" s="7"/>
      <c r="B78" s="142"/>
      <c r="E78" s="167"/>
      <c r="F78" s="167"/>
      <c r="G78" s="167"/>
      <c r="H78" s="167"/>
      <c r="I78" s="167"/>
      <c r="J78" s="167"/>
      <c r="K78" s="167"/>
      <c r="L78" s="142"/>
      <c r="M78" s="167"/>
      <c r="N78" s="167"/>
      <c r="O78" s="167"/>
      <c r="P78" s="167"/>
      <c r="Q78" s="167"/>
      <c r="R78" s="142"/>
      <c r="S78" s="142"/>
      <c r="T78" s="142"/>
      <c r="U78" s="142"/>
      <c r="V78" s="142"/>
      <c r="W78" s="599"/>
      <c r="X78" s="599"/>
      <c r="Y78" s="599"/>
      <c r="Z78" s="599"/>
      <c r="AA78" s="599"/>
      <c r="AB78" s="599"/>
      <c r="AC78" s="599"/>
      <c r="AD78" s="599"/>
      <c r="AE78" s="599"/>
      <c r="AF78" s="599"/>
      <c r="AG78" s="599"/>
      <c r="AH78" s="599"/>
      <c r="AI78" s="599"/>
      <c r="AJ78" s="599"/>
      <c r="AK78" s="599"/>
      <c r="AL78" s="599"/>
      <c r="AM78" s="599"/>
      <c r="AN78" s="599"/>
      <c r="AO78" s="599"/>
    </row>
    <row r="79" spans="1:41" ht="15.75">
      <c r="A79" s="7"/>
      <c r="B79" s="142"/>
      <c r="E79" s="167"/>
      <c r="F79" s="167"/>
      <c r="G79" s="167"/>
      <c r="H79" s="167"/>
      <c r="I79" s="167"/>
      <c r="J79" s="167"/>
      <c r="K79" s="167"/>
      <c r="L79" s="142"/>
      <c r="M79" s="167"/>
      <c r="N79" s="167"/>
      <c r="O79" s="167"/>
      <c r="P79" s="167"/>
      <c r="Q79" s="167"/>
      <c r="R79" s="142"/>
      <c r="S79" s="142"/>
      <c r="T79" s="142"/>
      <c r="U79" s="142"/>
      <c r="V79" s="142"/>
      <c r="W79" s="599"/>
      <c r="X79" s="599"/>
      <c r="Y79" s="599"/>
      <c r="Z79" s="599"/>
      <c r="AA79" s="599"/>
      <c r="AB79" s="599"/>
      <c r="AC79" s="599"/>
      <c r="AD79" s="599"/>
      <c r="AE79" s="599"/>
      <c r="AF79" s="599"/>
      <c r="AG79" s="599"/>
      <c r="AH79" s="599"/>
      <c r="AI79" s="599"/>
      <c r="AJ79" s="599"/>
      <c r="AK79" s="599"/>
      <c r="AL79" s="599"/>
      <c r="AM79" s="599"/>
      <c r="AN79" s="599"/>
      <c r="AO79" s="599"/>
    </row>
    <row r="80" spans="1:41" ht="15.75">
      <c r="A80" s="7"/>
      <c r="B80" s="142"/>
      <c r="E80" s="167"/>
      <c r="F80" s="167"/>
      <c r="G80" s="167"/>
      <c r="H80" s="167"/>
      <c r="I80" s="167"/>
      <c r="J80" s="167"/>
      <c r="K80" s="167"/>
      <c r="L80" s="142"/>
      <c r="M80" s="167"/>
      <c r="N80" s="167"/>
      <c r="O80" s="167"/>
      <c r="P80" s="167"/>
      <c r="Q80" s="167"/>
      <c r="R80" s="142"/>
      <c r="S80" s="142"/>
      <c r="T80" s="142"/>
      <c r="U80" s="142"/>
      <c r="V80" s="142"/>
      <c r="W80" s="599"/>
      <c r="X80" s="599"/>
      <c r="Y80" s="599"/>
      <c r="Z80" s="599"/>
      <c r="AA80" s="599"/>
      <c r="AB80" s="599"/>
      <c r="AC80" s="599"/>
      <c r="AD80" s="599"/>
      <c r="AE80" s="599"/>
      <c r="AF80" s="599"/>
      <c r="AG80" s="599"/>
      <c r="AH80" s="599"/>
      <c r="AI80" s="599"/>
      <c r="AJ80" s="599"/>
      <c r="AK80" s="599"/>
      <c r="AL80" s="599"/>
      <c r="AM80" s="599"/>
      <c r="AN80" s="599"/>
      <c r="AO80" s="599"/>
    </row>
    <row r="81" spans="1:41" ht="15.75">
      <c r="A81" s="7"/>
      <c r="B81" s="142"/>
      <c r="E81" s="167"/>
      <c r="F81" s="167"/>
      <c r="G81" s="167"/>
      <c r="H81" s="167"/>
      <c r="I81" s="167"/>
      <c r="J81" s="167"/>
      <c r="K81" s="167"/>
      <c r="L81" s="142"/>
      <c r="M81" s="167"/>
      <c r="N81" s="167"/>
      <c r="O81" s="167"/>
      <c r="P81" s="167"/>
      <c r="Q81" s="167"/>
      <c r="R81" s="142"/>
      <c r="S81" s="142"/>
      <c r="T81" s="142"/>
      <c r="U81" s="142"/>
      <c r="V81" s="142"/>
      <c r="W81" s="599"/>
      <c r="X81" s="599"/>
      <c r="Y81" s="599"/>
      <c r="Z81" s="599"/>
      <c r="AA81" s="599"/>
      <c r="AB81" s="599"/>
      <c r="AC81" s="599"/>
      <c r="AD81" s="599"/>
      <c r="AE81" s="599"/>
      <c r="AF81" s="599"/>
      <c r="AG81" s="599"/>
      <c r="AH81" s="599"/>
      <c r="AI81" s="599"/>
      <c r="AJ81" s="599"/>
      <c r="AK81" s="599"/>
      <c r="AL81" s="599"/>
      <c r="AM81" s="599"/>
      <c r="AN81" s="599"/>
      <c r="AO81" s="599"/>
    </row>
    <row r="82" spans="1:41" ht="15.75">
      <c r="A82" s="7"/>
      <c r="B82" s="142"/>
      <c r="E82" s="167"/>
      <c r="F82" s="167"/>
      <c r="G82" s="167"/>
      <c r="H82" s="167"/>
      <c r="I82" s="167"/>
      <c r="J82" s="167"/>
      <c r="K82" s="167"/>
      <c r="L82" s="142"/>
      <c r="M82" s="167"/>
      <c r="N82" s="167"/>
      <c r="O82" s="167"/>
      <c r="P82" s="167"/>
      <c r="Q82" s="167"/>
      <c r="R82" s="142"/>
      <c r="S82" s="142"/>
      <c r="T82" s="142"/>
      <c r="U82" s="142"/>
      <c r="V82" s="142"/>
      <c r="W82" s="599"/>
      <c r="X82" s="599"/>
      <c r="Y82" s="599"/>
      <c r="Z82" s="599"/>
      <c r="AA82" s="599"/>
      <c r="AB82" s="599"/>
      <c r="AC82" s="599"/>
      <c r="AD82" s="599"/>
      <c r="AE82" s="599"/>
      <c r="AF82" s="599"/>
      <c r="AG82" s="599"/>
      <c r="AH82" s="599"/>
      <c r="AI82" s="599"/>
      <c r="AJ82" s="599"/>
      <c r="AK82" s="599"/>
      <c r="AL82" s="599"/>
      <c r="AM82" s="599"/>
      <c r="AN82" s="599"/>
      <c r="AO82" s="599"/>
    </row>
    <row r="83" spans="1:41" ht="15.75">
      <c r="A83" s="7"/>
      <c r="B83" s="142"/>
      <c r="E83" s="167"/>
      <c r="F83" s="167"/>
      <c r="G83" s="167"/>
      <c r="H83" s="167"/>
      <c r="I83" s="167"/>
      <c r="J83" s="167"/>
      <c r="K83" s="167"/>
      <c r="L83" s="142"/>
      <c r="M83" s="167"/>
      <c r="N83" s="167"/>
      <c r="O83" s="167"/>
      <c r="P83" s="167"/>
      <c r="Q83" s="167"/>
      <c r="R83" s="142"/>
      <c r="S83" s="142"/>
      <c r="T83" s="142"/>
      <c r="U83" s="142"/>
      <c r="V83" s="142"/>
      <c r="W83" s="599"/>
      <c r="X83" s="599"/>
      <c r="Y83" s="599"/>
      <c r="Z83" s="599"/>
      <c r="AA83" s="599"/>
      <c r="AB83" s="599"/>
      <c r="AC83" s="599"/>
      <c r="AD83" s="599"/>
      <c r="AE83" s="599"/>
      <c r="AF83" s="599"/>
      <c r="AG83" s="599"/>
      <c r="AH83" s="599"/>
      <c r="AI83" s="599"/>
      <c r="AJ83" s="599"/>
      <c r="AK83" s="599"/>
      <c r="AL83" s="599"/>
      <c r="AM83" s="599"/>
      <c r="AN83" s="599"/>
      <c r="AO83" s="599"/>
    </row>
    <row r="84" spans="1:41" ht="15.75">
      <c r="A84" s="7"/>
      <c r="B84" s="142"/>
      <c r="E84" s="167"/>
      <c r="F84" s="167"/>
      <c r="G84" s="167"/>
      <c r="H84" s="167"/>
      <c r="I84" s="167"/>
      <c r="J84" s="167"/>
      <c r="K84" s="167"/>
      <c r="L84" s="142"/>
      <c r="M84" s="167"/>
      <c r="N84" s="167"/>
      <c r="O84" s="167"/>
      <c r="P84" s="167"/>
      <c r="Q84" s="167"/>
      <c r="R84" s="142"/>
      <c r="S84" s="142"/>
      <c r="T84" s="142"/>
      <c r="U84" s="142"/>
      <c r="V84" s="142"/>
      <c r="W84" s="599"/>
      <c r="X84" s="599"/>
      <c r="Y84" s="599"/>
      <c r="Z84" s="599"/>
      <c r="AA84" s="599"/>
      <c r="AB84" s="599"/>
      <c r="AC84" s="599"/>
      <c r="AD84" s="599"/>
      <c r="AE84" s="599"/>
      <c r="AF84" s="599"/>
      <c r="AG84" s="599"/>
      <c r="AH84" s="599"/>
      <c r="AI84" s="599"/>
      <c r="AJ84" s="599"/>
      <c r="AK84" s="599"/>
      <c r="AL84" s="599"/>
      <c r="AM84" s="599"/>
      <c r="AN84" s="599"/>
      <c r="AO84" s="599"/>
    </row>
    <row r="85" spans="1:41" ht="15.75">
      <c r="A85" s="7"/>
      <c r="B85" s="142"/>
      <c r="E85" s="167"/>
      <c r="F85" s="167"/>
      <c r="G85" s="167"/>
      <c r="H85" s="167"/>
      <c r="I85" s="167"/>
      <c r="J85" s="167"/>
      <c r="K85" s="167"/>
      <c r="L85" s="142"/>
      <c r="M85" s="167"/>
      <c r="N85" s="167"/>
      <c r="O85" s="167"/>
      <c r="P85" s="167"/>
      <c r="Q85" s="167"/>
      <c r="R85" s="142"/>
      <c r="S85" s="142"/>
      <c r="T85" s="142"/>
      <c r="U85" s="142"/>
      <c r="V85" s="142"/>
      <c r="W85" s="599"/>
      <c r="X85" s="599"/>
      <c r="Y85" s="599"/>
      <c r="Z85" s="599"/>
      <c r="AA85" s="599"/>
      <c r="AB85" s="599"/>
      <c r="AC85" s="599"/>
      <c r="AD85" s="599"/>
      <c r="AE85" s="599"/>
      <c r="AF85" s="599"/>
      <c r="AG85" s="599"/>
      <c r="AH85" s="599"/>
      <c r="AI85" s="599"/>
      <c r="AJ85" s="599"/>
      <c r="AK85" s="599"/>
      <c r="AL85" s="599"/>
      <c r="AM85" s="599"/>
      <c r="AN85" s="599"/>
      <c r="AO85" s="599"/>
    </row>
    <row r="86" spans="1:41" ht="15.75">
      <c r="A86" s="7"/>
      <c r="B86" s="142"/>
      <c r="E86" s="167"/>
      <c r="F86" s="167"/>
      <c r="G86" s="167"/>
      <c r="H86" s="167"/>
      <c r="I86" s="167"/>
      <c r="J86" s="167"/>
      <c r="K86" s="167"/>
      <c r="L86" s="142"/>
      <c r="M86" s="167"/>
      <c r="N86" s="167"/>
      <c r="O86" s="167"/>
      <c r="P86" s="167"/>
      <c r="Q86" s="167"/>
      <c r="R86" s="142"/>
      <c r="S86" s="142"/>
      <c r="T86" s="142"/>
      <c r="U86" s="142"/>
      <c r="V86" s="142"/>
      <c r="W86" s="599"/>
      <c r="X86" s="599"/>
      <c r="Y86" s="599"/>
      <c r="Z86" s="599"/>
      <c r="AA86" s="599"/>
      <c r="AB86" s="599"/>
      <c r="AC86" s="599"/>
      <c r="AD86" s="599"/>
      <c r="AE86" s="599"/>
      <c r="AF86" s="599"/>
      <c r="AG86" s="599"/>
      <c r="AH86" s="599"/>
      <c r="AI86" s="599"/>
      <c r="AJ86" s="599"/>
      <c r="AK86" s="599"/>
      <c r="AL86" s="599"/>
      <c r="AM86" s="599"/>
      <c r="AN86" s="599"/>
      <c r="AO86" s="599"/>
    </row>
    <row r="87" spans="1:41" ht="15.75">
      <c r="A87" s="7"/>
      <c r="B87" s="142"/>
      <c r="E87" s="167"/>
      <c r="F87" s="167"/>
      <c r="G87" s="167"/>
      <c r="H87" s="167"/>
      <c r="I87" s="167"/>
      <c r="J87" s="167"/>
      <c r="K87" s="167"/>
      <c r="L87" s="142"/>
      <c r="M87" s="167"/>
      <c r="N87" s="167"/>
      <c r="O87" s="167"/>
      <c r="P87" s="167"/>
      <c r="Q87" s="167"/>
      <c r="R87" s="142"/>
      <c r="S87" s="142"/>
      <c r="T87" s="142"/>
      <c r="U87" s="142"/>
      <c r="V87" s="142"/>
      <c r="W87" s="599"/>
      <c r="X87" s="599"/>
      <c r="Y87" s="599"/>
      <c r="Z87" s="599"/>
      <c r="AA87" s="599"/>
      <c r="AB87" s="599"/>
      <c r="AC87" s="599"/>
      <c r="AD87" s="599"/>
      <c r="AE87" s="599"/>
      <c r="AF87" s="599"/>
      <c r="AG87" s="599"/>
      <c r="AH87" s="599"/>
      <c r="AI87" s="599"/>
      <c r="AJ87" s="599"/>
      <c r="AK87" s="599"/>
      <c r="AL87" s="599"/>
      <c r="AM87" s="599"/>
      <c r="AN87" s="599"/>
      <c r="AO87" s="599"/>
    </row>
    <row r="88" spans="1:41" ht="15.75">
      <c r="A88" s="7"/>
      <c r="B88" s="142"/>
      <c r="E88" s="167"/>
      <c r="F88" s="167"/>
      <c r="G88" s="167"/>
      <c r="H88" s="167"/>
      <c r="I88" s="167"/>
      <c r="J88" s="167"/>
      <c r="K88" s="167"/>
      <c r="L88" s="142"/>
      <c r="M88" s="167"/>
      <c r="N88" s="167"/>
      <c r="O88" s="167"/>
      <c r="P88" s="167"/>
      <c r="Q88" s="167"/>
      <c r="R88" s="142"/>
      <c r="S88" s="142"/>
      <c r="T88" s="142"/>
      <c r="U88" s="142"/>
      <c r="V88" s="142"/>
      <c r="W88" s="599"/>
      <c r="X88" s="599"/>
      <c r="Y88" s="599"/>
      <c r="Z88" s="599"/>
      <c r="AA88" s="599"/>
      <c r="AB88" s="599"/>
      <c r="AC88" s="599"/>
      <c r="AD88" s="599"/>
      <c r="AE88" s="599"/>
      <c r="AF88" s="599"/>
      <c r="AG88" s="599"/>
      <c r="AH88" s="599"/>
      <c r="AI88" s="599"/>
      <c r="AJ88" s="599"/>
      <c r="AK88" s="599"/>
      <c r="AL88" s="599"/>
      <c r="AM88" s="599"/>
      <c r="AN88" s="599"/>
      <c r="AO88" s="599"/>
    </row>
    <row r="89" spans="1:41" ht="15.75">
      <c r="A89" s="7"/>
      <c r="B89" s="142"/>
      <c r="E89" s="167"/>
      <c r="F89" s="167"/>
      <c r="G89" s="167"/>
      <c r="H89" s="167"/>
      <c r="I89" s="167"/>
      <c r="J89" s="167"/>
      <c r="K89" s="167"/>
      <c r="L89" s="142"/>
      <c r="M89" s="167"/>
      <c r="N89" s="167"/>
      <c r="O89" s="167"/>
      <c r="P89" s="167"/>
      <c r="Q89" s="167"/>
      <c r="R89" s="142"/>
      <c r="S89" s="142"/>
      <c r="T89" s="142"/>
      <c r="U89" s="142"/>
      <c r="V89" s="142"/>
      <c r="W89" s="599"/>
      <c r="X89" s="599"/>
      <c r="Y89" s="599"/>
      <c r="Z89" s="599"/>
      <c r="AA89" s="599"/>
      <c r="AB89" s="599"/>
      <c r="AC89" s="599"/>
      <c r="AD89" s="599"/>
      <c r="AE89" s="599"/>
      <c r="AF89" s="599"/>
      <c r="AG89" s="599"/>
      <c r="AH89" s="599"/>
      <c r="AI89" s="599"/>
      <c r="AJ89" s="599"/>
      <c r="AK89" s="599"/>
      <c r="AL89" s="599"/>
      <c r="AM89" s="599"/>
      <c r="AN89" s="599"/>
      <c r="AO89" s="599"/>
    </row>
    <row r="90" spans="1:41" ht="15.75">
      <c r="A90" s="7"/>
      <c r="B90" s="142"/>
      <c r="E90" s="167"/>
      <c r="F90" s="167"/>
      <c r="G90" s="167"/>
      <c r="H90" s="167"/>
      <c r="I90" s="167"/>
      <c r="J90" s="167"/>
      <c r="K90" s="167"/>
      <c r="L90" s="142"/>
      <c r="M90" s="167"/>
      <c r="N90" s="167"/>
      <c r="O90" s="167"/>
      <c r="P90" s="167"/>
      <c r="Q90" s="167"/>
      <c r="R90" s="142"/>
      <c r="S90" s="142"/>
      <c r="T90" s="142"/>
      <c r="U90" s="142"/>
      <c r="V90" s="142"/>
      <c r="W90" s="599"/>
      <c r="X90" s="599"/>
      <c r="Y90" s="599"/>
      <c r="Z90" s="599"/>
      <c r="AA90" s="599"/>
      <c r="AB90" s="599"/>
      <c r="AC90" s="599"/>
      <c r="AD90" s="599"/>
      <c r="AE90" s="599"/>
      <c r="AF90" s="599"/>
      <c r="AG90" s="599"/>
      <c r="AH90" s="599"/>
      <c r="AI90" s="599"/>
      <c r="AJ90" s="599"/>
      <c r="AK90" s="599"/>
      <c r="AL90" s="599"/>
      <c r="AM90" s="599"/>
      <c r="AN90" s="599"/>
      <c r="AO90" s="599"/>
    </row>
    <row r="91" spans="1:41" ht="15">
      <c r="A91" s="595"/>
      <c r="B91" s="595"/>
      <c r="C91" s="595"/>
      <c r="D91" s="595"/>
      <c r="E91" s="595"/>
      <c r="F91" s="595"/>
      <c r="G91" s="595"/>
      <c r="H91" s="595"/>
      <c r="I91" s="595"/>
      <c r="J91" s="595"/>
      <c r="K91" s="595"/>
      <c r="L91" s="595"/>
      <c r="M91" s="595"/>
      <c r="N91" s="595"/>
      <c r="O91" s="595"/>
      <c r="P91" s="595"/>
      <c r="Q91" s="595"/>
      <c r="R91" s="595"/>
      <c r="S91" s="595"/>
      <c r="T91" s="595"/>
      <c r="U91" s="595"/>
      <c r="V91" s="595"/>
      <c r="W91" s="599"/>
      <c r="X91" s="599"/>
      <c r="Y91" s="599"/>
      <c r="Z91" s="599"/>
      <c r="AA91" s="599"/>
      <c r="AB91" s="599"/>
      <c r="AC91" s="599"/>
      <c r="AD91" s="599"/>
      <c r="AE91" s="599"/>
      <c r="AF91" s="599"/>
      <c r="AG91" s="599"/>
      <c r="AH91" s="599"/>
      <c r="AI91" s="599"/>
      <c r="AJ91" s="599"/>
      <c r="AK91" s="599"/>
      <c r="AL91" s="599"/>
      <c r="AM91" s="599"/>
      <c r="AN91" s="599"/>
      <c r="AO91" s="599"/>
    </row>
    <row r="92" spans="1:41" ht="15">
      <c r="A92" s="595"/>
      <c r="B92" s="595"/>
      <c r="C92" s="595"/>
      <c r="D92" s="595"/>
      <c r="E92" s="595"/>
      <c r="F92" s="595"/>
      <c r="G92" s="595"/>
      <c r="H92" s="595"/>
      <c r="I92" s="595"/>
      <c r="J92" s="595"/>
      <c r="K92" s="595"/>
      <c r="L92" s="595"/>
      <c r="M92" s="595"/>
      <c r="N92" s="595"/>
      <c r="O92" s="595"/>
      <c r="P92" s="595"/>
      <c r="Q92" s="595"/>
      <c r="R92" s="595"/>
      <c r="S92" s="595"/>
      <c r="T92" s="595"/>
      <c r="U92" s="595"/>
      <c r="V92" s="595"/>
      <c r="W92" s="599"/>
      <c r="X92" s="599"/>
      <c r="Y92" s="599"/>
      <c r="Z92" s="599"/>
      <c r="AA92" s="599"/>
      <c r="AB92" s="599"/>
      <c r="AC92" s="599"/>
      <c r="AD92" s="599"/>
      <c r="AE92" s="599"/>
      <c r="AF92" s="599"/>
      <c r="AG92" s="599"/>
      <c r="AH92" s="599"/>
      <c r="AI92" s="599"/>
      <c r="AJ92" s="599"/>
      <c r="AK92" s="599"/>
      <c r="AL92" s="599"/>
      <c r="AM92" s="599"/>
      <c r="AN92" s="599"/>
      <c r="AO92" s="599"/>
    </row>
    <row r="93" spans="1:41" ht="15">
      <c r="A93" s="595"/>
      <c r="B93" s="595"/>
      <c r="C93" s="595"/>
      <c r="D93" s="595"/>
      <c r="E93" s="595"/>
      <c r="F93" s="595"/>
      <c r="G93" s="595"/>
      <c r="H93" s="595"/>
      <c r="I93" s="595"/>
      <c r="J93" s="595"/>
      <c r="K93" s="595"/>
      <c r="L93" s="595"/>
      <c r="M93" s="595"/>
      <c r="N93" s="595"/>
      <c r="O93" s="595"/>
      <c r="P93" s="595"/>
      <c r="Q93" s="595"/>
      <c r="R93" s="595"/>
      <c r="S93" s="595"/>
      <c r="T93" s="595"/>
      <c r="U93" s="595"/>
      <c r="V93" s="595"/>
      <c r="W93" s="599"/>
      <c r="X93" s="599"/>
      <c r="Y93" s="599"/>
      <c r="Z93" s="599"/>
      <c r="AA93" s="599"/>
      <c r="AB93" s="599"/>
      <c r="AC93" s="599"/>
      <c r="AD93" s="599"/>
      <c r="AE93" s="599"/>
      <c r="AF93" s="599"/>
      <c r="AG93" s="599"/>
      <c r="AH93" s="599"/>
      <c r="AI93" s="599"/>
      <c r="AJ93" s="599"/>
      <c r="AK93" s="599"/>
      <c r="AL93" s="599"/>
      <c r="AM93" s="599"/>
      <c r="AN93" s="599"/>
      <c r="AO93" s="599"/>
    </row>
    <row r="94" spans="1:22" ht="15">
      <c r="A94" s="595"/>
      <c r="B94" s="595"/>
      <c r="C94" s="595"/>
      <c r="D94" s="595"/>
      <c r="E94" s="595"/>
      <c r="F94" s="595"/>
      <c r="G94" s="595"/>
      <c r="H94" s="595"/>
      <c r="I94" s="595"/>
      <c r="J94" s="595"/>
      <c r="K94" s="595"/>
      <c r="L94" s="595"/>
      <c r="M94" s="595"/>
      <c r="N94" s="595"/>
      <c r="O94" s="595"/>
      <c r="P94" s="595"/>
      <c r="Q94" s="595"/>
      <c r="R94" s="595"/>
      <c r="S94" s="595"/>
      <c r="T94" s="595"/>
      <c r="U94" s="595"/>
      <c r="V94" s="595"/>
    </row>
    <row r="95" spans="1:22" ht="15">
      <c r="A95" s="595"/>
      <c r="B95" s="595"/>
      <c r="C95" s="595"/>
      <c r="D95" s="595"/>
      <c r="E95" s="595"/>
      <c r="F95" s="595"/>
      <c r="G95" s="595"/>
      <c r="H95" s="595"/>
      <c r="I95" s="595"/>
      <c r="J95" s="595"/>
      <c r="K95" s="595"/>
      <c r="L95" s="595"/>
      <c r="M95" s="595"/>
      <c r="N95" s="595"/>
      <c r="O95" s="595"/>
      <c r="P95" s="595"/>
      <c r="Q95" s="595"/>
      <c r="R95" s="595"/>
      <c r="S95" s="595"/>
      <c r="T95" s="595"/>
      <c r="U95" s="595"/>
      <c r="V95" s="595"/>
    </row>
    <row r="96" spans="1:22" ht="15">
      <c r="A96" s="595"/>
      <c r="B96" s="595"/>
      <c r="C96" s="595"/>
      <c r="D96" s="595"/>
      <c r="E96" s="595"/>
      <c r="F96" s="595"/>
      <c r="G96" s="595"/>
      <c r="H96" s="595"/>
      <c r="I96" s="595"/>
      <c r="J96" s="595"/>
      <c r="K96" s="595"/>
      <c r="L96" s="595"/>
      <c r="M96" s="595"/>
      <c r="N96" s="595"/>
      <c r="O96" s="595"/>
      <c r="P96" s="595"/>
      <c r="Q96" s="595"/>
      <c r="R96" s="595"/>
      <c r="S96" s="595"/>
      <c r="T96" s="595"/>
      <c r="U96" s="595"/>
      <c r="V96" s="595"/>
    </row>
    <row r="97" spans="1:22" ht="15">
      <c r="A97" s="595"/>
      <c r="B97" s="595"/>
      <c r="C97" s="595"/>
      <c r="D97" s="595"/>
      <c r="E97" s="595"/>
      <c r="F97" s="595"/>
      <c r="G97" s="595"/>
      <c r="H97" s="595"/>
      <c r="I97" s="595"/>
      <c r="J97" s="595"/>
      <c r="K97" s="595"/>
      <c r="L97" s="595"/>
      <c r="M97" s="595"/>
      <c r="N97" s="595"/>
      <c r="O97" s="595"/>
      <c r="P97" s="595"/>
      <c r="Q97" s="595"/>
      <c r="R97" s="595"/>
      <c r="S97" s="595"/>
      <c r="T97" s="595"/>
      <c r="U97" s="595"/>
      <c r="V97" s="595"/>
    </row>
    <row r="98" spans="1:22" ht="12.75" customHeight="1">
      <c r="A98" s="595"/>
      <c r="B98" s="595"/>
      <c r="C98" s="595"/>
      <c r="D98" s="595"/>
      <c r="E98" s="595"/>
      <c r="F98" s="595"/>
      <c r="G98" s="595"/>
      <c r="H98" s="595"/>
      <c r="I98" s="595"/>
      <c r="J98" s="595"/>
      <c r="K98" s="595"/>
      <c r="L98" s="595"/>
      <c r="M98" s="595"/>
      <c r="N98" s="595"/>
      <c r="O98" s="595"/>
      <c r="P98" s="595"/>
      <c r="Q98" s="595"/>
      <c r="R98" s="595"/>
      <c r="S98" s="595"/>
      <c r="T98" s="595"/>
      <c r="U98" s="595"/>
      <c r="V98" s="595"/>
    </row>
    <row r="99" spans="1:22" ht="12.75" customHeight="1">
      <c r="A99" s="595"/>
      <c r="B99" s="595"/>
      <c r="C99" s="595"/>
      <c r="D99" s="595"/>
      <c r="E99" s="595"/>
      <c r="F99" s="595"/>
      <c r="G99" s="595"/>
      <c r="H99" s="595"/>
      <c r="I99" s="595"/>
      <c r="J99" s="595"/>
      <c r="K99" s="595"/>
      <c r="L99" s="595"/>
      <c r="M99" s="595"/>
      <c r="N99" s="595"/>
      <c r="O99" s="595"/>
      <c r="P99" s="595"/>
      <c r="Q99" s="595"/>
      <c r="R99" s="595"/>
      <c r="S99" s="595"/>
      <c r="T99" s="595"/>
      <c r="U99" s="595"/>
      <c r="V99" s="595"/>
    </row>
    <row r="100" spans="1:22" ht="12.75" customHeight="1">
      <c r="A100" s="595"/>
      <c r="B100" s="595"/>
      <c r="C100" s="595"/>
      <c r="D100" s="595"/>
      <c r="E100" s="595"/>
      <c r="F100" s="595"/>
      <c r="G100" s="595"/>
      <c r="H100" s="595"/>
      <c r="I100" s="595"/>
      <c r="J100" s="595"/>
      <c r="K100" s="595"/>
      <c r="L100" s="595"/>
      <c r="M100" s="595"/>
      <c r="N100" s="595"/>
      <c r="O100" s="595"/>
      <c r="P100" s="595"/>
      <c r="Q100" s="595"/>
      <c r="R100" s="595"/>
      <c r="S100" s="595"/>
      <c r="T100" s="595"/>
      <c r="U100" s="595"/>
      <c r="V100" s="595"/>
    </row>
    <row r="101" spans="1:22" ht="12.75" customHeight="1">
      <c r="A101" s="595"/>
      <c r="B101" s="595"/>
      <c r="C101" s="595"/>
      <c r="D101" s="595"/>
      <c r="E101" s="595"/>
      <c r="F101" s="595"/>
      <c r="G101" s="595"/>
      <c r="H101" s="595"/>
      <c r="I101" s="595"/>
      <c r="J101" s="595"/>
      <c r="K101" s="595"/>
      <c r="L101" s="595"/>
      <c r="M101" s="595"/>
      <c r="N101" s="595"/>
      <c r="O101" s="595"/>
      <c r="P101" s="595"/>
      <c r="Q101" s="595"/>
      <c r="R101" s="595"/>
      <c r="S101" s="595"/>
      <c r="T101" s="595"/>
      <c r="U101" s="595"/>
      <c r="V101" s="595"/>
    </row>
    <row r="102" spans="1:22" ht="12.75" customHeight="1">
      <c r="A102" s="595"/>
      <c r="B102" s="595"/>
      <c r="C102" s="595"/>
      <c r="D102" s="595"/>
      <c r="E102" s="595"/>
      <c r="F102" s="595"/>
      <c r="G102" s="595"/>
      <c r="H102" s="595"/>
      <c r="I102" s="595"/>
      <c r="J102" s="595"/>
      <c r="K102" s="595"/>
      <c r="L102" s="595"/>
      <c r="M102" s="595"/>
      <c r="N102" s="595"/>
      <c r="O102" s="595"/>
      <c r="P102" s="595"/>
      <c r="Q102" s="595"/>
      <c r="R102" s="595"/>
      <c r="S102" s="595"/>
      <c r="T102" s="595"/>
      <c r="U102" s="595"/>
      <c r="V102" s="595"/>
    </row>
    <row r="103" spans="1:22" ht="12.75" customHeight="1">
      <c r="A103" s="595"/>
      <c r="B103" s="595"/>
      <c r="C103" s="595"/>
      <c r="D103" s="595"/>
      <c r="E103" s="595"/>
      <c r="F103" s="595"/>
      <c r="G103" s="595"/>
      <c r="H103" s="595"/>
      <c r="I103" s="595"/>
      <c r="J103" s="595"/>
      <c r="K103" s="595"/>
      <c r="L103" s="595"/>
      <c r="M103" s="595"/>
      <c r="N103" s="595"/>
      <c r="O103" s="595"/>
      <c r="P103" s="595"/>
      <c r="Q103" s="595"/>
      <c r="R103" s="595"/>
      <c r="S103" s="595"/>
      <c r="T103" s="595"/>
      <c r="U103" s="595"/>
      <c r="V103" s="595"/>
    </row>
    <row r="104" spans="1:22" ht="12.75" customHeight="1">
      <c r="A104" s="595"/>
      <c r="B104" s="595"/>
      <c r="C104" s="595"/>
      <c r="D104" s="595"/>
      <c r="E104" s="595"/>
      <c r="F104" s="595"/>
      <c r="G104" s="595"/>
      <c r="H104" s="595"/>
      <c r="I104" s="595"/>
      <c r="J104" s="595"/>
      <c r="K104" s="595"/>
      <c r="L104" s="595"/>
      <c r="M104" s="595"/>
      <c r="N104" s="595"/>
      <c r="O104" s="595"/>
      <c r="P104" s="595"/>
      <c r="Q104" s="595"/>
      <c r="R104" s="595"/>
      <c r="S104" s="595"/>
      <c r="T104" s="595"/>
      <c r="U104" s="595"/>
      <c r="V104" s="595"/>
    </row>
    <row r="105" spans="1:22" ht="12.75" customHeight="1">
      <c r="A105" s="595"/>
      <c r="B105" s="595"/>
      <c r="C105" s="595"/>
      <c r="D105" s="595"/>
      <c r="E105" s="595"/>
      <c r="F105" s="595"/>
      <c r="G105" s="595"/>
      <c r="H105" s="595"/>
      <c r="I105" s="595"/>
      <c r="J105" s="595"/>
      <c r="K105" s="595"/>
      <c r="L105" s="595"/>
      <c r="M105" s="595"/>
      <c r="N105" s="595"/>
      <c r="O105" s="595"/>
      <c r="P105" s="595"/>
      <c r="Q105" s="595"/>
      <c r="R105" s="595"/>
      <c r="S105" s="595"/>
      <c r="T105" s="595"/>
      <c r="U105" s="595"/>
      <c r="V105" s="595"/>
    </row>
    <row r="106" spans="1:22" ht="12.75" customHeight="1">
      <c r="A106" s="595"/>
      <c r="B106" s="595"/>
      <c r="C106" s="595"/>
      <c r="D106" s="595"/>
      <c r="E106" s="595"/>
      <c r="F106" s="595"/>
      <c r="G106" s="595"/>
      <c r="H106" s="595"/>
      <c r="I106" s="595"/>
      <c r="J106" s="595"/>
      <c r="K106" s="595"/>
      <c r="L106" s="595"/>
      <c r="M106" s="595"/>
      <c r="N106" s="595"/>
      <c r="O106" s="595"/>
      <c r="P106" s="595"/>
      <c r="Q106" s="595"/>
      <c r="R106" s="595"/>
      <c r="S106" s="595"/>
      <c r="T106" s="595"/>
      <c r="U106" s="595"/>
      <c r="V106" s="595"/>
    </row>
    <row r="107" spans="1:22" ht="12.75" customHeight="1">
      <c r="A107" s="595"/>
      <c r="B107" s="595"/>
      <c r="C107" s="595"/>
      <c r="D107" s="595"/>
      <c r="E107" s="595"/>
      <c r="F107" s="595"/>
      <c r="G107" s="595"/>
      <c r="H107" s="595"/>
      <c r="I107" s="595"/>
      <c r="J107" s="595"/>
      <c r="K107" s="595"/>
      <c r="L107" s="595"/>
      <c r="M107" s="595"/>
      <c r="N107" s="595"/>
      <c r="O107" s="595"/>
      <c r="P107" s="595"/>
      <c r="Q107" s="595"/>
      <c r="R107" s="595"/>
      <c r="S107" s="595"/>
      <c r="T107" s="595"/>
      <c r="U107" s="595"/>
      <c r="V107" s="595"/>
    </row>
    <row r="108" spans="1:22" ht="12.75" customHeight="1">
      <c r="A108" s="595"/>
      <c r="B108" s="595"/>
      <c r="C108" s="595"/>
      <c r="D108" s="595"/>
      <c r="E108" s="595"/>
      <c r="F108" s="595"/>
      <c r="G108" s="595"/>
      <c r="H108" s="595"/>
      <c r="I108" s="595"/>
      <c r="J108" s="595"/>
      <c r="K108" s="595"/>
      <c r="L108" s="595"/>
      <c r="M108" s="595"/>
      <c r="N108" s="595"/>
      <c r="O108" s="595"/>
      <c r="P108" s="595"/>
      <c r="Q108" s="595"/>
      <c r="R108" s="595"/>
      <c r="S108" s="595"/>
      <c r="T108" s="595"/>
      <c r="U108" s="595"/>
      <c r="V108" s="595"/>
    </row>
    <row r="109" spans="1:22" ht="15">
      <c r="A109" s="595"/>
      <c r="B109" s="595"/>
      <c r="C109" s="595"/>
      <c r="D109" s="595"/>
      <c r="E109" s="595"/>
      <c r="F109" s="595"/>
      <c r="G109" s="595"/>
      <c r="H109" s="595"/>
      <c r="I109" s="595"/>
      <c r="J109" s="595"/>
      <c r="K109" s="595"/>
      <c r="L109" s="595"/>
      <c r="M109" s="595"/>
      <c r="N109" s="595"/>
      <c r="O109" s="595"/>
      <c r="P109" s="595"/>
      <c r="Q109" s="595"/>
      <c r="R109" s="595"/>
      <c r="S109" s="595"/>
      <c r="T109" s="595"/>
      <c r="U109" s="595"/>
      <c r="V109" s="595"/>
    </row>
    <row r="110" spans="1:22" ht="15">
      <c r="A110" s="595"/>
      <c r="B110" s="595"/>
      <c r="C110" s="595"/>
      <c r="D110" s="595"/>
      <c r="E110" s="595"/>
      <c r="F110" s="595"/>
      <c r="G110" s="595"/>
      <c r="H110" s="595"/>
      <c r="I110" s="595"/>
      <c r="J110" s="595"/>
      <c r="K110" s="595"/>
      <c r="L110" s="595"/>
      <c r="M110" s="595"/>
      <c r="N110" s="595"/>
      <c r="O110" s="595"/>
      <c r="P110" s="595"/>
      <c r="Q110" s="595"/>
      <c r="R110" s="595"/>
      <c r="S110" s="595"/>
      <c r="T110" s="595"/>
      <c r="U110" s="595"/>
      <c r="V110" s="595"/>
    </row>
    <row r="111" spans="1:22" ht="15">
      <c r="A111" s="595"/>
      <c r="B111" s="595"/>
      <c r="C111" s="595"/>
      <c r="D111" s="595"/>
      <c r="E111" s="595"/>
      <c r="F111" s="595"/>
      <c r="G111" s="595"/>
      <c r="H111" s="595"/>
      <c r="I111" s="595"/>
      <c r="J111" s="595"/>
      <c r="K111" s="595"/>
      <c r="L111" s="595"/>
      <c r="M111" s="595"/>
      <c r="N111" s="595"/>
      <c r="O111" s="595"/>
      <c r="P111" s="595"/>
      <c r="Q111" s="595"/>
      <c r="R111" s="595"/>
      <c r="S111" s="595"/>
      <c r="T111" s="595"/>
      <c r="U111" s="595"/>
      <c r="V111" s="595"/>
    </row>
    <row r="112" spans="1:22" ht="15">
      <c r="A112" s="595"/>
      <c r="B112" s="595"/>
      <c r="C112" s="595"/>
      <c r="D112" s="595"/>
      <c r="E112" s="595"/>
      <c r="F112" s="595"/>
      <c r="G112" s="595"/>
      <c r="H112" s="595"/>
      <c r="I112" s="595"/>
      <c r="J112" s="595"/>
      <c r="K112" s="595"/>
      <c r="L112" s="595"/>
      <c r="M112" s="595"/>
      <c r="N112" s="595"/>
      <c r="O112" s="595"/>
      <c r="P112" s="595"/>
      <c r="Q112" s="595"/>
      <c r="R112" s="595"/>
      <c r="S112" s="595"/>
      <c r="T112" s="595"/>
      <c r="U112" s="595"/>
      <c r="V112" s="595"/>
    </row>
    <row r="113" spans="1:22" ht="15">
      <c r="A113" s="595"/>
      <c r="B113" s="595"/>
      <c r="C113" s="595"/>
      <c r="D113" s="595"/>
      <c r="E113" s="595"/>
      <c r="F113" s="595"/>
      <c r="G113" s="595"/>
      <c r="H113" s="595"/>
      <c r="I113" s="595"/>
      <c r="J113" s="595"/>
      <c r="K113" s="595"/>
      <c r="L113" s="595"/>
      <c r="M113" s="595"/>
      <c r="N113" s="595"/>
      <c r="O113" s="595"/>
      <c r="P113" s="595"/>
      <c r="Q113" s="595"/>
      <c r="R113" s="595"/>
      <c r="S113" s="595"/>
      <c r="T113" s="595"/>
      <c r="U113" s="595"/>
      <c r="V113" s="595"/>
    </row>
    <row r="114" spans="1:22" ht="15">
      <c r="A114" s="595"/>
      <c r="B114" s="595"/>
      <c r="C114" s="595"/>
      <c r="D114" s="595"/>
      <c r="E114" s="595"/>
      <c r="F114" s="595"/>
      <c r="G114" s="595"/>
      <c r="H114" s="595"/>
      <c r="I114" s="595"/>
      <c r="J114" s="595"/>
      <c r="K114" s="595"/>
      <c r="L114" s="595"/>
      <c r="M114" s="595"/>
      <c r="N114" s="595"/>
      <c r="O114" s="595"/>
      <c r="P114" s="595"/>
      <c r="Q114" s="595"/>
      <c r="R114" s="595"/>
      <c r="S114" s="595"/>
      <c r="T114" s="595"/>
      <c r="U114" s="595"/>
      <c r="V114" s="595"/>
    </row>
    <row r="115" spans="1:22" ht="15">
      <c r="A115" s="595"/>
      <c r="B115" s="595"/>
      <c r="C115" s="595"/>
      <c r="D115" s="595"/>
      <c r="E115" s="595"/>
      <c r="F115" s="595"/>
      <c r="G115" s="595"/>
      <c r="H115" s="595"/>
      <c r="I115" s="595"/>
      <c r="J115" s="595"/>
      <c r="K115" s="595"/>
      <c r="L115" s="595"/>
      <c r="M115" s="595"/>
      <c r="N115" s="595"/>
      <c r="O115" s="595"/>
      <c r="P115" s="595"/>
      <c r="Q115" s="595"/>
      <c r="R115" s="595"/>
      <c r="S115" s="595"/>
      <c r="T115" s="595"/>
      <c r="U115" s="595"/>
      <c r="V115" s="595"/>
    </row>
    <row r="116" spans="1:22" ht="15">
      <c r="A116" s="595"/>
      <c r="B116" s="595"/>
      <c r="C116" s="595"/>
      <c r="D116" s="595"/>
      <c r="E116" s="595"/>
      <c r="F116" s="595"/>
      <c r="G116" s="595"/>
      <c r="H116" s="595"/>
      <c r="I116" s="595"/>
      <c r="J116" s="595"/>
      <c r="K116" s="595"/>
      <c r="L116" s="595"/>
      <c r="M116" s="595"/>
      <c r="N116" s="595"/>
      <c r="O116" s="595"/>
      <c r="P116" s="595"/>
      <c r="Q116" s="595"/>
      <c r="R116" s="595"/>
      <c r="S116" s="595"/>
      <c r="T116" s="595"/>
      <c r="U116" s="595"/>
      <c r="V116" s="595"/>
    </row>
    <row r="117" spans="1:22" ht="15">
      <c r="A117" s="595"/>
      <c r="B117" s="595"/>
      <c r="C117" s="595"/>
      <c r="D117" s="595"/>
      <c r="E117" s="595"/>
      <c r="F117" s="595"/>
      <c r="G117" s="595"/>
      <c r="H117" s="595"/>
      <c r="I117" s="595"/>
      <c r="J117" s="595"/>
      <c r="K117" s="595"/>
      <c r="L117" s="595"/>
      <c r="M117" s="595"/>
      <c r="N117" s="595"/>
      <c r="O117" s="595"/>
      <c r="P117" s="595"/>
      <c r="Q117" s="595"/>
      <c r="R117" s="595"/>
      <c r="S117" s="595"/>
      <c r="T117" s="595"/>
      <c r="U117" s="595"/>
      <c r="V117" s="595"/>
    </row>
    <row r="118" spans="1:22" ht="15">
      <c r="A118" s="595"/>
      <c r="B118" s="595"/>
      <c r="C118" s="595"/>
      <c r="D118" s="595"/>
      <c r="E118" s="595"/>
      <c r="F118" s="595"/>
      <c r="G118" s="595"/>
      <c r="H118" s="595"/>
      <c r="I118" s="595"/>
      <c r="J118" s="595"/>
      <c r="K118" s="595"/>
      <c r="L118" s="595"/>
      <c r="M118" s="595"/>
      <c r="N118" s="595"/>
      <c r="O118" s="595"/>
      <c r="P118" s="595"/>
      <c r="Q118" s="595"/>
      <c r="R118" s="595"/>
      <c r="S118" s="595"/>
      <c r="T118" s="595"/>
      <c r="U118" s="595"/>
      <c r="V118" s="595"/>
    </row>
    <row r="119" spans="1:22" ht="15">
      <c r="A119" s="595"/>
      <c r="B119" s="595"/>
      <c r="C119" s="595"/>
      <c r="D119" s="595"/>
      <c r="E119" s="595"/>
      <c r="F119" s="595"/>
      <c r="G119" s="595"/>
      <c r="H119" s="595"/>
      <c r="I119" s="595"/>
      <c r="J119" s="595"/>
      <c r="K119" s="595"/>
      <c r="L119" s="595"/>
      <c r="M119" s="595"/>
      <c r="N119" s="595"/>
      <c r="O119" s="595"/>
      <c r="P119" s="595"/>
      <c r="Q119" s="595"/>
      <c r="R119" s="595"/>
      <c r="S119" s="595"/>
      <c r="T119" s="595"/>
      <c r="U119" s="595"/>
      <c r="V119" s="595"/>
    </row>
    <row r="120" spans="1:22" ht="15">
      <c r="A120" s="595"/>
      <c r="B120" s="595"/>
      <c r="C120" s="595"/>
      <c r="D120" s="595"/>
      <c r="E120" s="595"/>
      <c r="F120" s="595"/>
      <c r="G120" s="595"/>
      <c r="H120" s="595"/>
      <c r="I120" s="595"/>
      <c r="J120" s="595"/>
      <c r="K120" s="595"/>
      <c r="L120" s="595"/>
      <c r="M120" s="595"/>
      <c r="N120" s="595"/>
      <c r="O120" s="595"/>
      <c r="P120" s="595"/>
      <c r="Q120" s="595"/>
      <c r="R120" s="595"/>
      <c r="S120" s="595"/>
      <c r="T120" s="595"/>
      <c r="U120" s="595"/>
      <c r="V120" s="595"/>
    </row>
    <row r="121" spans="1:22" ht="15">
      <c r="A121" s="595"/>
      <c r="B121" s="595"/>
      <c r="C121" s="595"/>
      <c r="D121" s="595"/>
      <c r="E121" s="595"/>
      <c r="F121" s="595"/>
      <c r="G121" s="595"/>
      <c r="H121" s="595"/>
      <c r="I121" s="595"/>
      <c r="J121" s="595"/>
      <c r="K121" s="595"/>
      <c r="L121" s="595"/>
      <c r="M121" s="595"/>
      <c r="N121" s="595"/>
      <c r="O121" s="595"/>
      <c r="P121" s="595"/>
      <c r="Q121" s="595"/>
      <c r="R121" s="595"/>
      <c r="S121" s="595"/>
      <c r="T121" s="595"/>
      <c r="U121" s="595"/>
      <c r="V121" s="595"/>
    </row>
    <row r="122" spans="1:22" ht="15">
      <c r="A122" s="595"/>
      <c r="B122" s="595"/>
      <c r="C122" s="595"/>
      <c r="D122" s="595"/>
      <c r="E122" s="595"/>
      <c r="F122" s="595"/>
      <c r="G122" s="595"/>
      <c r="H122" s="595"/>
      <c r="I122" s="595"/>
      <c r="J122" s="595"/>
      <c r="K122" s="595"/>
      <c r="L122" s="595"/>
      <c r="M122" s="595"/>
      <c r="N122" s="595"/>
      <c r="O122" s="595"/>
      <c r="P122" s="595"/>
      <c r="Q122" s="595"/>
      <c r="R122" s="595"/>
      <c r="S122" s="595"/>
      <c r="T122" s="595"/>
      <c r="U122" s="595"/>
      <c r="V122" s="595"/>
    </row>
    <row r="123" spans="1:22" ht="15">
      <c r="A123" s="595"/>
      <c r="B123" s="595"/>
      <c r="C123" s="595"/>
      <c r="D123" s="595"/>
      <c r="E123" s="595"/>
      <c r="F123" s="595"/>
      <c r="G123" s="595"/>
      <c r="H123" s="595"/>
      <c r="I123" s="595"/>
      <c r="J123" s="595"/>
      <c r="K123" s="595"/>
      <c r="L123" s="595"/>
      <c r="M123" s="595"/>
      <c r="N123" s="595"/>
      <c r="O123" s="595"/>
      <c r="P123" s="595"/>
      <c r="Q123" s="595"/>
      <c r="R123" s="595"/>
      <c r="S123" s="595"/>
      <c r="T123" s="595"/>
      <c r="U123" s="595"/>
      <c r="V123" s="595"/>
    </row>
    <row r="124" spans="1:22" ht="15">
      <c r="A124" s="595"/>
      <c r="B124" s="595"/>
      <c r="C124" s="595"/>
      <c r="D124" s="595"/>
      <c r="E124" s="595"/>
      <c r="F124" s="595"/>
      <c r="G124" s="595"/>
      <c r="H124" s="595"/>
      <c r="I124" s="595"/>
      <c r="J124" s="595"/>
      <c r="K124" s="595"/>
      <c r="L124" s="595"/>
      <c r="M124" s="595"/>
      <c r="N124" s="595"/>
      <c r="O124" s="595"/>
      <c r="P124" s="595"/>
      <c r="Q124" s="595"/>
      <c r="R124" s="595"/>
      <c r="S124" s="595"/>
      <c r="T124" s="595"/>
      <c r="U124" s="595"/>
      <c r="V124" s="595"/>
    </row>
    <row r="125" spans="1:22" ht="15">
      <c r="A125" s="595"/>
      <c r="B125" s="595"/>
      <c r="C125" s="595"/>
      <c r="D125" s="595"/>
      <c r="E125" s="595"/>
      <c r="F125" s="595"/>
      <c r="G125" s="595"/>
      <c r="H125" s="595"/>
      <c r="I125" s="595"/>
      <c r="J125" s="595"/>
      <c r="K125" s="595"/>
      <c r="L125" s="595"/>
      <c r="M125" s="595"/>
      <c r="N125" s="595"/>
      <c r="O125" s="595"/>
      <c r="P125" s="595"/>
      <c r="Q125" s="595"/>
      <c r="R125" s="595"/>
      <c r="S125" s="595"/>
      <c r="T125" s="595"/>
      <c r="U125" s="595"/>
      <c r="V125" s="595"/>
    </row>
    <row r="126" spans="1:22" ht="15">
      <c r="A126" s="595"/>
      <c r="B126" s="595"/>
      <c r="C126" s="595"/>
      <c r="D126" s="595"/>
      <c r="E126" s="595"/>
      <c r="F126" s="595"/>
      <c r="G126" s="595"/>
      <c r="H126" s="595"/>
      <c r="I126" s="595"/>
      <c r="J126" s="595"/>
      <c r="K126" s="595"/>
      <c r="L126" s="595"/>
      <c r="M126" s="595"/>
      <c r="N126" s="595"/>
      <c r="O126" s="595"/>
      <c r="P126" s="595"/>
      <c r="Q126" s="595"/>
      <c r="R126" s="595"/>
      <c r="S126" s="595"/>
      <c r="T126" s="595"/>
      <c r="U126" s="595"/>
      <c r="V126" s="595"/>
    </row>
    <row r="127" spans="1:22" ht="15">
      <c r="A127" s="595"/>
      <c r="B127" s="595"/>
      <c r="C127" s="595"/>
      <c r="D127" s="595"/>
      <c r="E127" s="595"/>
      <c r="F127" s="595"/>
      <c r="G127" s="595"/>
      <c r="H127" s="595"/>
      <c r="I127" s="595"/>
      <c r="J127" s="595"/>
      <c r="K127" s="595"/>
      <c r="L127" s="595"/>
      <c r="M127" s="595"/>
      <c r="N127" s="595"/>
      <c r="O127" s="595"/>
      <c r="P127" s="595"/>
      <c r="Q127" s="595"/>
      <c r="R127" s="595"/>
      <c r="S127" s="595"/>
      <c r="T127" s="595"/>
      <c r="U127" s="595"/>
      <c r="V127" s="595"/>
    </row>
    <row r="128" spans="1:22" ht="15">
      <c r="A128" s="595"/>
      <c r="B128" s="595"/>
      <c r="C128" s="595"/>
      <c r="D128" s="595"/>
      <c r="E128" s="595"/>
      <c r="F128" s="595"/>
      <c r="G128" s="595"/>
      <c r="H128" s="595"/>
      <c r="I128" s="595"/>
      <c r="J128" s="595"/>
      <c r="K128" s="595"/>
      <c r="L128" s="595"/>
      <c r="M128" s="595"/>
      <c r="N128" s="595"/>
      <c r="O128" s="595"/>
      <c r="P128" s="595"/>
      <c r="Q128" s="595"/>
      <c r="R128" s="595"/>
      <c r="S128" s="595"/>
      <c r="T128" s="595"/>
      <c r="U128" s="595"/>
      <c r="V128" s="595"/>
    </row>
    <row r="129" spans="1:22" ht="12.75" customHeight="1">
      <c r="A129" s="595"/>
      <c r="B129" s="595"/>
      <c r="C129" s="595"/>
      <c r="D129" s="595"/>
      <c r="E129" s="595"/>
      <c r="F129" s="595"/>
      <c r="G129" s="595"/>
      <c r="H129" s="595"/>
      <c r="I129" s="595"/>
      <c r="J129" s="595"/>
      <c r="K129" s="595"/>
      <c r="L129" s="595"/>
      <c r="M129" s="595"/>
      <c r="N129" s="595"/>
      <c r="O129" s="595"/>
      <c r="P129" s="595"/>
      <c r="Q129" s="595"/>
      <c r="R129" s="595"/>
      <c r="S129" s="595"/>
      <c r="T129" s="595"/>
      <c r="U129" s="595"/>
      <c r="V129" s="595"/>
    </row>
    <row r="130" spans="1:22" ht="12.75" customHeight="1">
      <c r="A130" s="595"/>
      <c r="B130" s="595"/>
      <c r="C130" s="595"/>
      <c r="D130" s="595"/>
      <c r="E130" s="595"/>
      <c r="F130" s="595"/>
      <c r="G130" s="595"/>
      <c r="H130" s="595"/>
      <c r="I130" s="595"/>
      <c r="J130" s="595"/>
      <c r="K130" s="595"/>
      <c r="L130" s="595"/>
      <c r="M130" s="595"/>
      <c r="N130" s="595"/>
      <c r="O130" s="595"/>
      <c r="P130" s="595"/>
      <c r="Q130" s="595"/>
      <c r="R130" s="595"/>
      <c r="S130" s="595"/>
      <c r="T130" s="595"/>
      <c r="U130" s="595"/>
      <c r="V130" s="595"/>
    </row>
    <row r="131" spans="1:22" ht="12.75" customHeight="1">
      <c r="A131" s="595"/>
      <c r="B131" s="595"/>
      <c r="C131" s="595"/>
      <c r="D131" s="595"/>
      <c r="E131" s="595"/>
      <c r="F131" s="595"/>
      <c r="G131" s="595"/>
      <c r="H131" s="595"/>
      <c r="I131" s="595"/>
      <c r="J131" s="595"/>
      <c r="K131" s="595"/>
      <c r="L131" s="595"/>
      <c r="M131" s="595"/>
      <c r="N131" s="595"/>
      <c r="O131" s="595"/>
      <c r="P131" s="595"/>
      <c r="Q131" s="595"/>
      <c r="R131" s="595"/>
      <c r="S131" s="595"/>
      <c r="T131" s="595"/>
      <c r="U131" s="595"/>
      <c r="V131" s="595"/>
    </row>
    <row r="132" spans="1:22" ht="15">
      <c r="A132" s="595"/>
      <c r="B132" s="595"/>
      <c r="C132" s="595"/>
      <c r="D132" s="595"/>
      <c r="E132" s="595"/>
      <c r="F132" s="595"/>
      <c r="G132" s="595"/>
      <c r="H132" s="595"/>
      <c r="I132" s="595"/>
      <c r="J132" s="595"/>
      <c r="K132" s="595"/>
      <c r="L132" s="595"/>
      <c r="M132" s="595"/>
      <c r="N132" s="595"/>
      <c r="O132" s="595"/>
      <c r="P132" s="595"/>
      <c r="Q132" s="595"/>
      <c r="R132" s="595"/>
      <c r="S132" s="595"/>
      <c r="T132" s="595"/>
      <c r="U132" s="595"/>
      <c r="V132" s="595"/>
    </row>
    <row r="133" spans="1:22" ht="15">
      <c r="A133" s="595"/>
      <c r="B133" s="595"/>
      <c r="C133" s="595"/>
      <c r="D133" s="595"/>
      <c r="E133" s="595"/>
      <c r="F133" s="595"/>
      <c r="G133" s="595"/>
      <c r="H133" s="595"/>
      <c r="I133" s="595"/>
      <c r="J133" s="595"/>
      <c r="K133" s="595"/>
      <c r="L133" s="595"/>
      <c r="M133" s="595"/>
      <c r="N133" s="595"/>
      <c r="O133" s="595"/>
      <c r="P133" s="595"/>
      <c r="Q133" s="595"/>
      <c r="R133" s="595"/>
      <c r="S133" s="595"/>
      <c r="T133" s="595"/>
      <c r="U133" s="595"/>
      <c r="V133" s="595"/>
    </row>
    <row r="134" spans="1:22" ht="15">
      <c r="A134" s="595"/>
      <c r="B134" s="595"/>
      <c r="C134" s="595"/>
      <c r="D134" s="595"/>
      <c r="E134" s="595"/>
      <c r="F134" s="595"/>
      <c r="G134" s="595"/>
      <c r="H134" s="595"/>
      <c r="I134" s="595"/>
      <c r="J134" s="595"/>
      <c r="K134" s="595"/>
      <c r="L134" s="595"/>
      <c r="M134" s="595"/>
      <c r="N134" s="595"/>
      <c r="O134" s="595"/>
      <c r="P134" s="595"/>
      <c r="Q134" s="595"/>
      <c r="R134" s="595"/>
      <c r="S134" s="595"/>
      <c r="T134" s="595"/>
      <c r="U134" s="595"/>
      <c r="V134" s="595"/>
    </row>
    <row r="135" spans="1:22" ht="15">
      <c r="A135" s="595"/>
      <c r="B135" s="595"/>
      <c r="C135" s="595"/>
      <c r="D135" s="595"/>
      <c r="E135" s="595"/>
      <c r="F135" s="595"/>
      <c r="G135" s="595"/>
      <c r="H135" s="595"/>
      <c r="I135" s="595"/>
      <c r="J135" s="595"/>
      <c r="K135" s="595"/>
      <c r="L135" s="595"/>
      <c r="M135" s="595"/>
      <c r="N135" s="595"/>
      <c r="O135" s="595"/>
      <c r="P135" s="595"/>
      <c r="Q135" s="595"/>
      <c r="R135" s="595"/>
      <c r="S135" s="595"/>
      <c r="T135" s="595"/>
      <c r="U135" s="595"/>
      <c r="V135" s="595"/>
    </row>
    <row r="136" spans="1:22" ht="15">
      <c r="A136" s="595"/>
      <c r="B136" s="595"/>
      <c r="C136" s="595"/>
      <c r="D136" s="595"/>
      <c r="E136" s="595"/>
      <c r="F136" s="595"/>
      <c r="G136" s="595"/>
      <c r="H136" s="595"/>
      <c r="I136" s="595"/>
      <c r="J136" s="595"/>
      <c r="K136" s="595"/>
      <c r="L136" s="595"/>
      <c r="M136" s="595"/>
      <c r="N136" s="595"/>
      <c r="O136" s="595"/>
      <c r="P136" s="595"/>
      <c r="Q136" s="595"/>
      <c r="R136" s="595"/>
      <c r="S136" s="595"/>
      <c r="T136" s="595"/>
      <c r="U136" s="595"/>
      <c r="V136" s="595"/>
    </row>
    <row r="137" spans="1:22" ht="15">
      <c r="A137" s="595"/>
      <c r="B137" s="595"/>
      <c r="C137" s="595"/>
      <c r="D137" s="595"/>
      <c r="E137" s="595"/>
      <c r="F137" s="595"/>
      <c r="G137" s="595"/>
      <c r="H137" s="595"/>
      <c r="I137" s="595"/>
      <c r="J137" s="595"/>
      <c r="K137" s="595"/>
      <c r="L137" s="595"/>
      <c r="M137" s="595"/>
      <c r="N137" s="595"/>
      <c r="O137" s="595"/>
      <c r="P137" s="595"/>
      <c r="Q137" s="595"/>
      <c r="R137" s="595"/>
      <c r="S137" s="595"/>
      <c r="T137" s="595"/>
      <c r="U137" s="595"/>
      <c r="V137" s="595"/>
    </row>
    <row r="138" spans="1:22" ht="15">
      <c r="A138" s="595"/>
      <c r="B138" s="595"/>
      <c r="C138" s="595"/>
      <c r="D138" s="595"/>
      <c r="E138" s="595"/>
      <c r="F138" s="595"/>
      <c r="G138" s="595"/>
      <c r="H138" s="595"/>
      <c r="I138" s="595"/>
      <c r="J138" s="595"/>
      <c r="K138" s="595"/>
      <c r="L138" s="595"/>
      <c r="M138" s="595"/>
      <c r="N138" s="595"/>
      <c r="O138" s="595"/>
      <c r="P138" s="595"/>
      <c r="Q138" s="595"/>
      <c r="R138" s="595"/>
      <c r="S138" s="595"/>
      <c r="T138" s="595"/>
      <c r="U138" s="595"/>
      <c r="V138" s="595"/>
    </row>
    <row r="139" spans="1:22" ht="15">
      <c r="A139" s="595"/>
      <c r="B139" s="595"/>
      <c r="C139" s="595"/>
      <c r="D139" s="595"/>
      <c r="E139" s="595"/>
      <c r="F139" s="595"/>
      <c r="G139" s="595"/>
      <c r="H139" s="595"/>
      <c r="I139" s="595"/>
      <c r="J139" s="595"/>
      <c r="K139" s="595"/>
      <c r="L139" s="595"/>
      <c r="M139" s="595"/>
      <c r="N139" s="595"/>
      <c r="O139" s="595"/>
      <c r="P139" s="595"/>
      <c r="Q139" s="595"/>
      <c r="R139" s="595"/>
      <c r="S139" s="595"/>
      <c r="T139" s="595"/>
      <c r="U139" s="595"/>
      <c r="V139" s="595"/>
    </row>
    <row r="140" spans="1:22" ht="15">
      <c r="A140" s="595"/>
      <c r="B140" s="595"/>
      <c r="C140" s="595"/>
      <c r="D140" s="595"/>
      <c r="E140" s="595"/>
      <c r="F140" s="595"/>
      <c r="G140" s="595"/>
      <c r="H140" s="595"/>
      <c r="I140" s="595"/>
      <c r="J140" s="595"/>
      <c r="K140" s="595"/>
      <c r="L140" s="595"/>
      <c r="M140" s="595"/>
      <c r="N140" s="595"/>
      <c r="O140" s="595"/>
      <c r="P140" s="595"/>
      <c r="Q140" s="595"/>
      <c r="R140" s="595"/>
      <c r="S140" s="595"/>
      <c r="T140" s="595"/>
      <c r="U140" s="595"/>
      <c r="V140" s="595"/>
    </row>
    <row r="141" spans="1:22" ht="15">
      <c r="A141" s="595"/>
      <c r="B141" s="595"/>
      <c r="C141" s="595"/>
      <c r="D141" s="595"/>
      <c r="E141" s="595"/>
      <c r="F141" s="595"/>
      <c r="G141" s="595"/>
      <c r="H141" s="595"/>
      <c r="I141" s="595"/>
      <c r="J141" s="595"/>
      <c r="K141" s="595"/>
      <c r="L141" s="595"/>
      <c r="M141" s="595"/>
      <c r="N141" s="595"/>
      <c r="O141" s="595"/>
      <c r="P141" s="595"/>
      <c r="Q141" s="595"/>
      <c r="R141" s="595"/>
      <c r="S141" s="595"/>
      <c r="T141" s="595"/>
      <c r="U141" s="595"/>
      <c r="V141" s="595"/>
    </row>
    <row r="142" spans="1:22" ht="15">
      <c r="A142" s="595"/>
      <c r="B142" s="595"/>
      <c r="C142" s="595"/>
      <c r="D142" s="595"/>
      <c r="E142" s="595"/>
      <c r="F142" s="595"/>
      <c r="G142" s="595"/>
      <c r="H142" s="595"/>
      <c r="I142" s="595"/>
      <c r="J142" s="595"/>
      <c r="K142" s="595"/>
      <c r="L142" s="595"/>
      <c r="M142" s="595"/>
      <c r="N142" s="595"/>
      <c r="O142" s="595"/>
      <c r="P142" s="595"/>
      <c r="Q142" s="595"/>
      <c r="R142" s="595"/>
      <c r="S142" s="595"/>
      <c r="T142" s="595"/>
      <c r="U142" s="595"/>
      <c r="V142" s="595"/>
    </row>
  </sheetData>
  <sheetProtection/>
  <mergeCells count="8">
    <mergeCell ref="B23:G24"/>
    <mergeCell ref="B27:J29"/>
    <mergeCell ref="A6:K6"/>
    <mergeCell ref="B9:H9"/>
    <mergeCell ref="A1:K1"/>
    <mergeCell ref="A2:K2"/>
    <mergeCell ref="A3:K3"/>
    <mergeCell ref="A4:K4"/>
  </mergeCells>
  <printOptions/>
  <pageMargins left="0.26" right="0.44" top="1" bottom="1" header="0.75" footer="0.5"/>
  <pageSetup fitToHeight="1" fitToWidth="1" horizontalDpi="600" verticalDpi="600" orientation="landscape" scale="86"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AN74"/>
  <sheetViews>
    <sheetView view="pageBreakPreview" zoomScaleSheetLayoutView="100" zoomScalePageLayoutView="0" workbookViewId="0" topLeftCell="A1">
      <selection activeCell="A1" sqref="A1"/>
    </sheetView>
  </sheetViews>
  <sheetFormatPr defaultColWidth="9.140625" defaultRowHeight="12.75"/>
  <cols>
    <col min="1" max="1" width="10.421875" style="195" customWidth="1"/>
    <col min="2" max="2" width="15.140625" style="156" customWidth="1"/>
    <col min="3" max="3" width="50.7109375" style="112" customWidth="1"/>
    <col min="4" max="4" width="15.7109375" style="112" customWidth="1"/>
    <col min="5" max="5" width="20.7109375" style="112" customWidth="1"/>
    <col min="6" max="6" width="17.28125" style="112" customWidth="1"/>
    <col min="7" max="7" width="31.57421875" style="112" bestFit="1"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1" t="s">
        <v>282</v>
      </c>
      <c r="B1" s="1141"/>
      <c r="C1" s="1141"/>
      <c r="D1" s="1141"/>
      <c r="E1" s="1141"/>
      <c r="F1" s="1141"/>
      <c r="G1" s="1141"/>
      <c r="H1" s="175"/>
    </row>
    <row r="2" spans="1:11" ht="12.75" customHeight="1">
      <c r="A2" s="1140" t="str">
        <f>"Cost of Service Formula Rate Using "&amp;'KGPCo Historic TCOS'!O1&amp;" FF1 Balances"</f>
        <v>Cost of Service Formula Rate Using 2011 FF1 Balances</v>
      </c>
      <c r="B2" s="1140"/>
      <c r="C2" s="1140"/>
      <c r="D2" s="1140"/>
      <c r="E2" s="1140"/>
      <c r="F2" s="1140"/>
      <c r="G2" s="1140"/>
      <c r="H2" s="291"/>
      <c r="I2" s="291"/>
      <c r="J2" s="291"/>
      <c r="K2" s="291"/>
    </row>
    <row r="3" spans="1:7" ht="12.75" customHeight="1">
      <c r="A3" s="1140" t="s">
        <v>427</v>
      </c>
      <c r="B3" s="1140"/>
      <c r="C3" s="1140"/>
      <c r="D3" s="1140"/>
      <c r="E3" s="1140"/>
      <c r="F3" s="1140"/>
      <c r="G3" s="1140"/>
    </row>
    <row r="4" spans="1:7" ht="12.75" customHeight="1">
      <c r="A4" s="1120" t="str">
        <f>+'KGPCo WS A  - RB Support '!A4:F4</f>
        <v>KINGSPORT POWER COMPANY</v>
      </c>
      <c r="B4" s="1120"/>
      <c r="C4" s="1120"/>
      <c r="D4" s="1120"/>
      <c r="E4" s="1120"/>
      <c r="F4" s="1120"/>
      <c r="G4" s="1120"/>
    </row>
    <row r="5" spans="1:7" ht="12.75" customHeight="1">
      <c r="A5" s="1141"/>
      <c r="B5" s="1141"/>
      <c r="C5" s="1141"/>
      <c r="D5" s="1141"/>
      <c r="E5" s="1141"/>
      <c r="F5" s="1141"/>
      <c r="G5" s="182"/>
    </row>
    <row r="6" spans="1:7" ht="18">
      <c r="A6" s="1129"/>
      <c r="B6" s="1129"/>
      <c r="C6" s="1129"/>
      <c r="D6" s="1129"/>
      <c r="E6" s="1129"/>
      <c r="F6" s="1129"/>
      <c r="G6" s="1129"/>
    </row>
    <row r="7" spans="1:7" ht="18">
      <c r="A7" s="546"/>
      <c r="B7" s="546"/>
      <c r="C7" s="546"/>
      <c r="D7" s="546"/>
      <c r="E7" s="546"/>
      <c r="F7" s="546"/>
      <c r="G7" s="546"/>
    </row>
    <row r="8" spans="2:7" ht="15.75">
      <c r="B8" s="172" t="s">
        <v>757</v>
      </c>
      <c r="C8" s="172" t="s">
        <v>758</v>
      </c>
      <c r="D8" s="172" t="s">
        <v>759</v>
      </c>
      <c r="E8" s="172" t="s">
        <v>760</v>
      </c>
      <c r="F8" s="172" t="s">
        <v>676</v>
      </c>
      <c r="G8" s="172" t="s">
        <v>677</v>
      </c>
    </row>
    <row r="9" spans="2:7" ht="15.75">
      <c r="B9" s="187"/>
      <c r="C9" s="182"/>
      <c r="D9" s="628"/>
      <c r="E9" s="629"/>
      <c r="F9" s="630" t="s">
        <v>679</v>
      </c>
      <c r="G9" s="172"/>
    </row>
    <row r="10" spans="1:7" ht="15.75">
      <c r="A10" s="190" t="s">
        <v>764</v>
      </c>
      <c r="B10" s="187"/>
      <c r="C10" s="196"/>
      <c r="D10" s="190">
        <f>+'KGPCo Historic TCOS'!O1</f>
        <v>2011</v>
      </c>
      <c r="E10" s="630" t="s">
        <v>679</v>
      </c>
      <c r="F10" s="190" t="s">
        <v>710</v>
      </c>
      <c r="G10" s="172"/>
    </row>
    <row r="11" spans="1:7" ht="15.75">
      <c r="A11" s="190" t="s">
        <v>700</v>
      </c>
      <c r="B11" s="190" t="s">
        <v>659</v>
      </c>
      <c r="C11" s="190" t="s">
        <v>762</v>
      </c>
      <c r="D11" s="190" t="s">
        <v>660</v>
      </c>
      <c r="E11" s="190" t="s">
        <v>681</v>
      </c>
      <c r="F11" s="190" t="s">
        <v>661</v>
      </c>
      <c r="G11" s="190" t="s">
        <v>662</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443</v>
      </c>
      <c r="D15" s="180"/>
      <c r="E15" s="180"/>
      <c r="F15" s="180"/>
      <c r="G15" s="267"/>
    </row>
    <row r="16" spans="1:7" ht="15">
      <c r="A16" s="195">
        <v>1</v>
      </c>
      <c r="B16" s="799"/>
      <c r="C16" s="179" t="s">
        <v>846</v>
      </c>
      <c r="D16" s="1010">
        <v>0</v>
      </c>
      <c r="E16" s="230"/>
      <c r="F16" s="230"/>
      <c r="G16" s="179"/>
    </row>
    <row r="17" spans="1:7" ht="15">
      <c r="A17" s="195">
        <f>+A16+1</f>
        <v>2</v>
      </c>
      <c r="D17" s="1010"/>
      <c r="E17" s="230"/>
      <c r="F17" s="230"/>
      <c r="G17" s="179"/>
    </row>
    <row r="18" spans="1:7" ht="15.75">
      <c r="A18" s="195">
        <f>+A17+1</f>
        <v>3</v>
      </c>
      <c r="B18" s="190"/>
      <c r="C18" s="179"/>
      <c r="D18" s="1010"/>
      <c r="E18" s="230"/>
      <c r="F18" s="230"/>
      <c r="G18" s="179"/>
    </row>
    <row r="19" spans="1:7" ht="15.75">
      <c r="A19" s="195">
        <f>+A18+1</f>
        <v>4</v>
      </c>
      <c r="B19" s="190"/>
      <c r="C19" s="745" t="s">
        <v>713</v>
      </c>
      <c r="D19" s="487">
        <f>SUM(D16:D18)</f>
        <v>0</v>
      </c>
      <c r="E19" s="230"/>
      <c r="F19" s="230"/>
      <c r="G19" s="190"/>
    </row>
    <row r="20" spans="2:7" ht="15.75">
      <c r="B20" s="190"/>
      <c r="C20" s="745"/>
      <c r="D20" s="798"/>
      <c r="E20" s="180"/>
      <c r="F20" s="180"/>
      <c r="G20" s="190"/>
    </row>
    <row r="21" spans="1:7" ht="15.75">
      <c r="A21" s="112"/>
      <c r="B21" s="116"/>
      <c r="C21" s="116" t="s">
        <v>796</v>
      </c>
      <c r="D21" s="1080"/>
      <c r="E21" s="180"/>
      <c r="F21" s="180"/>
      <c r="G21" s="190"/>
    </row>
    <row r="22" spans="1:7" ht="15.75">
      <c r="A22" s="1081">
        <f>+A19+1</f>
        <v>5</v>
      </c>
      <c r="B22" s="1082" t="s">
        <v>797</v>
      </c>
      <c r="C22" s="1082" t="s">
        <v>798</v>
      </c>
      <c r="D22" s="1086">
        <v>0</v>
      </c>
      <c r="E22" s="180"/>
      <c r="F22" s="180"/>
      <c r="G22" s="190"/>
    </row>
    <row r="23" spans="1:7" ht="15.75">
      <c r="A23" s="189">
        <f>+A22+1</f>
        <v>6</v>
      </c>
      <c r="B23" s="1083" t="s">
        <v>799</v>
      </c>
      <c r="C23" s="1083" t="s">
        <v>800</v>
      </c>
      <c r="D23" s="1086">
        <v>248</v>
      </c>
      <c r="E23" s="180"/>
      <c r="F23" s="180"/>
      <c r="G23" s="190"/>
    </row>
    <row r="24" spans="1:7" ht="15.75">
      <c r="A24" s="1081">
        <f>+A23+1</f>
        <v>7</v>
      </c>
      <c r="B24" s="1082" t="s">
        <v>801</v>
      </c>
      <c r="C24" s="1082" t="s">
        <v>802</v>
      </c>
      <c r="D24" s="1086">
        <v>45153</v>
      </c>
      <c r="E24" s="180"/>
      <c r="F24" s="180"/>
      <c r="G24" s="190"/>
    </row>
    <row r="25" spans="1:7" ht="15.75">
      <c r="A25" s="189">
        <f aca="true" t="shared" si="0" ref="A25:A30">+A24+1</f>
        <v>8</v>
      </c>
      <c r="B25" s="1083" t="s">
        <v>803</v>
      </c>
      <c r="C25" s="1083" t="s">
        <v>804</v>
      </c>
      <c r="D25" s="1086">
        <v>0.87</v>
      </c>
      <c r="E25" s="180"/>
      <c r="F25" s="180"/>
      <c r="G25" s="190"/>
    </row>
    <row r="26" spans="1:7" ht="15.75">
      <c r="A26" s="1081">
        <f t="shared" si="0"/>
        <v>9</v>
      </c>
      <c r="B26" s="1082" t="s">
        <v>805</v>
      </c>
      <c r="C26" s="1082" t="s">
        <v>806</v>
      </c>
      <c r="D26" s="1086">
        <v>0</v>
      </c>
      <c r="E26" s="180"/>
      <c r="F26" s="180"/>
      <c r="G26" s="190"/>
    </row>
    <row r="27" spans="1:7" ht="15.75">
      <c r="A27" s="189">
        <f t="shared" si="0"/>
        <v>10</v>
      </c>
      <c r="B27" s="1083" t="s">
        <v>807</v>
      </c>
      <c r="C27" s="1083" t="s">
        <v>808</v>
      </c>
      <c r="D27" s="1086">
        <v>5016</v>
      </c>
      <c r="E27" s="180"/>
      <c r="F27" s="180"/>
      <c r="G27" s="190"/>
    </row>
    <row r="28" spans="1:7" ht="15.75">
      <c r="A28" s="1081">
        <f t="shared" si="0"/>
        <v>11</v>
      </c>
      <c r="B28" s="1082" t="s">
        <v>809</v>
      </c>
      <c r="C28" s="1082" t="s">
        <v>810</v>
      </c>
      <c r="D28" s="1086">
        <v>0</v>
      </c>
      <c r="E28" s="180"/>
      <c r="F28" s="180"/>
      <c r="G28" s="190"/>
    </row>
    <row r="29" spans="1:7" ht="15.75">
      <c r="A29" s="189">
        <f t="shared" si="0"/>
        <v>12</v>
      </c>
      <c r="B29" s="1083" t="s">
        <v>811</v>
      </c>
      <c r="C29" s="1083" t="s">
        <v>812</v>
      </c>
      <c r="D29" s="1086">
        <v>0</v>
      </c>
      <c r="E29" s="180"/>
      <c r="F29" s="180"/>
      <c r="G29" s="190"/>
    </row>
    <row r="30" spans="1:7" ht="15.75">
      <c r="A30" s="1081">
        <f t="shared" si="0"/>
        <v>13</v>
      </c>
      <c r="B30" s="1082" t="s">
        <v>813</v>
      </c>
      <c r="C30" s="1082" t="s">
        <v>814</v>
      </c>
      <c r="D30" s="1086">
        <v>0</v>
      </c>
      <c r="E30" s="180"/>
      <c r="F30" s="180"/>
      <c r="G30" s="190"/>
    </row>
    <row r="31" spans="1:7" ht="15.75">
      <c r="A31" s="195">
        <f>+A30+1</f>
        <v>14</v>
      </c>
      <c r="B31" s="1012"/>
      <c r="C31" s="111" t="s">
        <v>815</v>
      </c>
      <c r="D31" s="1013">
        <f>SUM(D22:D30)</f>
        <v>50417.87</v>
      </c>
      <c r="E31" s="180"/>
      <c r="F31" s="180"/>
      <c r="G31" s="190"/>
    </row>
    <row r="32" spans="2:7" ht="15.75">
      <c r="B32" s="190"/>
      <c r="C32" s="745"/>
      <c r="D32" s="798"/>
      <c r="E32" s="180"/>
      <c r="F32" s="180"/>
      <c r="G32" s="190"/>
    </row>
    <row r="33" spans="1:7" ht="15.75">
      <c r="A33" s="737"/>
      <c r="B33" s="189"/>
      <c r="C33" s="330" t="s">
        <v>20</v>
      </c>
      <c r="D33" s="182"/>
      <c r="E33" s="182"/>
      <c r="F33" s="182"/>
      <c r="G33" s="182"/>
    </row>
    <row r="34" spans="1:7" ht="15">
      <c r="A34" s="195">
        <f>+A31+1</f>
        <v>15</v>
      </c>
      <c r="B34" s="327" t="s">
        <v>791</v>
      </c>
      <c r="C34" s="642" t="s">
        <v>42</v>
      </c>
      <c r="D34" s="329">
        <v>0</v>
      </c>
      <c r="E34" s="180">
        <f>+D34</f>
        <v>0</v>
      </c>
      <c r="F34" s="180">
        <v>0</v>
      </c>
      <c r="G34" s="179"/>
    </row>
    <row r="35" spans="1:7" ht="15">
      <c r="A35" s="195">
        <f>+A34+1</f>
        <v>16</v>
      </c>
      <c r="B35" s="328" t="s">
        <v>879</v>
      </c>
      <c r="C35" s="642" t="s">
        <v>43</v>
      </c>
      <c r="D35" s="329">
        <v>-3</v>
      </c>
      <c r="E35" s="180">
        <f>+D35</f>
        <v>-3</v>
      </c>
      <c r="F35" s="180">
        <v>0</v>
      </c>
      <c r="G35" s="179"/>
    </row>
    <row r="36" spans="1:6" ht="15">
      <c r="A36" s="195">
        <f>+A35+1</f>
        <v>17</v>
      </c>
      <c r="B36" s="328" t="s">
        <v>792</v>
      </c>
      <c r="C36" s="642" t="s">
        <v>44</v>
      </c>
      <c r="D36" s="329">
        <v>422</v>
      </c>
      <c r="E36" s="180">
        <f>+D36</f>
        <v>422</v>
      </c>
      <c r="F36" s="180">
        <v>0</v>
      </c>
    </row>
    <row r="37" spans="1:7" ht="15">
      <c r="A37" s="195">
        <f>+A36+1</f>
        <v>18</v>
      </c>
      <c r="B37" s="327" t="s">
        <v>792</v>
      </c>
      <c r="C37" s="642" t="s">
        <v>44</v>
      </c>
      <c r="D37" s="329">
        <v>0</v>
      </c>
      <c r="E37" s="180">
        <f>+D37</f>
        <v>0</v>
      </c>
      <c r="F37" s="180">
        <v>0</v>
      </c>
      <c r="G37" s="179"/>
    </row>
    <row r="38" spans="1:7" ht="15">
      <c r="A38" s="195">
        <f>+A37+1</f>
        <v>19</v>
      </c>
      <c r="B38" s="327" t="s">
        <v>792</v>
      </c>
      <c r="C38" s="642" t="s">
        <v>44</v>
      </c>
      <c r="D38" s="329">
        <v>0</v>
      </c>
      <c r="E38" s="180">
        <f>+D38</f>
        <v>0</v>
      </c>
      <c r="F38" s="180">
        <v>0</v>
      </c>
      <c r="G38" s="267"/>
    </row>
    <row r="39" spans="2:7" ht="15">
      <c r="B39" s="327"/>
      <c r="C39" s="642"/>
      <c r="D39" s="329"/>
      <c r="E39" s="180"/>
      <c r="F39" s="180"/>
      <c r="G39" s="179"/>
    </row>
    <row r="40" spans="2:7" ht="12.75" customHeight="1">
      <c r="B40" s="181" t="s">
        <v>709</v>
      </c>
      <c r="C40" s="223"/>
      <c r="D40" s="183"/>
      <c r="E40" s="184"/>
      <c r="F40" s="185"/>
      <c r="G40" s="182"/>
    </row>
    <row r="41" spans="1:7" ht="15.75" customHeight="1">
      <c r="A41" s="195">
        <f>+A38+1</f>
        <v>20</v>
      </c>
      <c r="B41" s="187"/>
      <c r="C41" s="745" t="s">
        <v>713</v>
      </c>
      <c r="D41" s="199">
        <f>SUM(D34:D39)</f>
        <v>419</v>
      </c>
      <c r="E41" s="199">
        <f>SUM(E34:E39)</f>
        <v>419</v>
      </c>
      <c r="F41" s="199">
        <f>SUM(F34:F39)</f>
        <v>0</v>
      </c>
      <c r="G41" s="158"/>
    </row>
    <row r="42" spans="2:7" ht="12.75" customHeight="1">
      <c r="B42" s="187"/>
      <c r="C42" s="188"/>
      <c r="D42" s="228"/>
      <c r="E42" s="168"/>
      <c r="F42" s="168"/>
      <c r="G42" s="182"/>
    </row>
    <row r="43" spans="2:7" ht="15.75">
      <c r="B43" s="189"/>
      <c r="C43" s="330" t="s">
        <v>19</v>
      </c>
      <c r="D43" s="168"/>
      <c r="E43" s="168"/>
      <c r="F43" s="168"/>
      <c r="G43" s="182"/>
    </row>
    <row r="44" spans="1:40" ht="15">
      <c r="A44" s="195">
        <f>+A41+1</f>
        <v>21</v>
      </c>
      <c r="B44" s="327" t="s">
        <v>45</v>
      </c>
      <c r="C44" s="642" t="s">
        <v>46</v>
      </c>
      <c r="D44" s="329">
        <v>0</v>
      </c>
      <c r="E44" s="180">
        <f>+D44</f>
        <v>0</v>
      </c>
      <c r="F44" s="180">
        <v>0</v>
      </c>
      <c r="G44"/>
      <c r="M44" s="157"/>
      <c r="N44" s="224"/>
      <c r="O44" s="225"/>
      <c r="P44" s="225"/>
      <c r="Q44" s="225"/>
      <c r="R44" s="225"/>
      <c r="S44" s="159"/>
      <c r="T44" s="159">
        <f aca="true" t="shared" si="1" ref="T44:T54">+P44-R44</f>
        <v>0</v>
      </c>
      <c r="U44" s="159"/>
      <c r="V44" s="226">
        <f aca="true" t="shared" si="2" ref="V44:V54">IF(R44&lt;0,IF(T44=0,0,IF(OR(R44=0,P44=0),"N.M.",IF(ABS(T44/R44)&gt;=10,"N.M.",T44/(-R44)))),IF(T44=0,0,IF(OR(R44=0,P44=0),"N.M.",IF(ABS(T44/R44)&gt;=10,"N.M.",T44/R44))))</f>
        <v>0</v>
      </c>
      <c r="W44" s="227"/>
      <c r="X44" s="159">
        <v>164556.36</v>
      </c>
      <c r="Y44" s="227"/>
      <c r="Z44" s="159">
        <v>183438.3</v>
      </c>
      <c r="AA44" s="227"/>
      <c r="AB44" s="159">
        <f aca="true" t="shared" si="3" ref="AB44:AB54">(+X44-Z44)</f>
        <v>-18881.940000000002</v>
      </c>
      <c r="AC44" s="159"/>
      <c r="AD44" s="226">
        <f aca="true" t="shared" si="4" ref="AD44:AD54">IF(Z44&lt;0,IF(AB44=0,0,IF(OR(Z44=0,X44=0),"N.M.",IF(ABS(AB44/Z44)&gt;=10,"N.M.",AB44/(-Z44)))),IF(AB44=0,0,IF(OR(Z44=0,X44=0),"N.M.",IF(ABS(AB44/Z44)&gt;=10,"N.M.",AB44/Z44))))</f>
        <v>-0.10293346591197151</v>
      </c>
      <c r="AE44" s="159"/>
      <c r="AF44" s="159">
        <v>384140.07</v>
      </c>
      <c r="AG44" s="159"/>
      <c r="AH44" s="159">
        <v>371256.25</v>
      </c>
      <c r="AI44" s="159"/>
      <c r="AJ44" s="159">
        <f aca="true" t="shared" si="5" ref="AJ44:AJ54">(+AF44-AH44)</f>
        <v>12883.820000000007</v>
      </c>
      <c r="AK44" s="159"/>
      <c r="AL44" s="226">
        <f aca="true" t="shared" si="6" ref="AL44:AL54">IF(AH44&lt;0,IF(AJ44=0,0,IF(OR(AH44=0,AF44=0),"N.M.",IF(ABS(AJ44/AH44)&gt;=10,"N.M.",AJ44/(-AH44)))),IF(AJ44=0,0,IF(OR(AH44=0,AF44=0),"N.M.",IF(ABS(AJ44/AH44)&gt;=10,"N.M.",AJ44/AH44))))</f>
        <v>0.03470330802511744</v>
      </c>
      <c r="AM44" s="159"/>
      <c r="AN44" s="159">
        <v>384140.07</v>
      </c>
    </row>
    <row r="45" spans="1:40" ht="15">
      <c r="A45" s="195">
        <f>+A44+1</f>
        <v>22</v>
      </c>
      <c r="B45" s="327" t="s">
        <v>777</v>
      </c>
      <c r="C45" s="642" t="s">
        <v>778</v>
      </c>
      <c r="D45" s="329">
        <v>0</v>
      </c>
      <c r="E45" s="180">
        <f aca="true" t="shared" si="7" ref="E45:E59">+D45</f>
        <v>0</v>
      </c>
      <c r="F45" s="180">
        <v>0</v>
      </c>
      <c r="G45"/>
      <c r="M45" s="157"/>
      <c r="N45" s="224"/>
      <c r="O45" s="225"/>
      <c r="P45" s="225"/>
      <c r="Q45" s="225"/>
      <c r="R45" s="225"/>
      <c r="S45" s="159"/>
      <c r="T45" s="159">
        <f t="shared" si="1"/>
        <v>0</v>
      </c>
      <c r="U45" s="159"/>
      <c r="V45" s="226">
        <f t="shared" si="2"/>
        <v>0</v>
      </c>
      <c r="W45" s="227"/>
      <c r="X45" s="159">
        <v>1.52</v>
      </c>
      <c r="Y45" s="227"/>
      <c r="Z45" s="159">
        <v>0</v>
      </c>
      <c r="AA45" s="227"/>
      <c r="AB45" s="159">
        <f t="shared" si="3"/>
        <v>1.52</v>
      </c>
      <c r="AC45" s="159"/>
      <c r="AD45" s="226" t="str">
        <f t="shared" si="4"/>
        <v>N.M.</v>
      </c>
      <c r="AE45" s="159"/>
      <c r="AF45" s="159">
        <v>34.89</v>
      </c>
      <c r="AG45" s="159"/>
      <c r="AH45" s="159">
        <v>5.66</v>
      </c>
      <c r="AI45" s="159"/>
      <c r="AJ45" s="159">
        <f t="shared" si="5"/>
        <v>29.23</v>
      </c>
      <c r="AK45" s="159"/>
      <c r="AL45" s="226">
        <f t="shared" si="6"/>
        <v>5.1643109540636045</v>
      </c>
      <c r="AM45" s="159"/>
      <c r="AN45" s="159">
        <v>34.89</v>
      </c>
    </row>
    <row r="46" spans="1:40" ht="15">
      <c r="A46" s="195">
        <f aca="true" t="shared" si="8" ref="A46:A59">+A45+1</f>
        <v>23</v>
      </c>
      <c r="B46" s="327" t="s">
        <v>47</v>
      </c>
      <c r="C46" s="642" t="s">
        <v>48</v>
      </c>
      <c r="D46" s="329">
        <v>0</v>
      </c>
      <c r="E46" s="180">
        <f t="shared" si="7"/>
        <v>0</v>
      </c>
      <c r="F46" s="180">
        <v>0</v>
      </c>
      <c r="G46"/>
      <c r="M46" s="157"/>
      <c r="N46" s="224"/>
      <c r="O46" s="225"/>
      <c r="P46" s="225"/>
      <c r="Q46" s="225"/>
      <c r="R46" s="225"/>
      <c r="S46" s="159"/>
      <c r="T46" s="159">
        <f t="shared" si="1"/>
        <v>0</v>
      </c>
      <c r="U46" s="159"/>
      <c r="V46" s="226">
        <f t="shared" si="2"/>
        <v>0</v>
      </c>
      <c r="W46" s="227"/>
      <c r="X46" s="159">
        <v>0</v>
      </c>
      <c r="Y46" s="227"/>
      <c r="Z46" s="159">
        <v>28.51</v>
      </c>
      <c r="AA46" s="227"/>
      <c r="AB46" s="159">
        <f t="shared" si="3"/>
        <v>-28.51</v>
      </c>
      <c r="AC46" s="159"/>
      <c r="AD46" s="226" t="str">
        <f t="shared" si="4"/>
        <v>N.M.</v>
      </c>
      <c r="AE46" s="159"/>
      <c r="AF46" s="159">
        <v>341.19</v>
      </c>
      <c r="AG46" s="159"/>
      <c r="AH46" s="159">
        <v>314.56</v>
      </c>
      <c r="AI46" s="159"/>
      <c r="AJ46" s="159">
        <f t="shared" si="5"/>
        <v>26.629999999999995</v>
      </c>
      <c r="AK46" s="159"/>
      <c r="AL46" s="226">
        <f t="shared" si="6"/>
        <v>0.08465793489318411</v>
      </c>
      <c r="AM46" s="159"/>
      <c r="AN46" s="159">
        <v>341.19</v>
      </c>
    </row>
    <row r="47" spans="1:40" ht="15">
      <c r="A47" s="195">
        <f t="shared" si="8"/>
        <v>24</v>
      </c>
      <c r="B47" s="327" t="s">
        <v>49</v>
      </c>
      <c r="C47" s="642" t="s">
        <v>50</v>
      </c>
      <c r="D47" s="329">
        <v>0</v>
      </c>
      <c r="E47" s="180">
        <f t="shared" si="7"/>
        <v>0</v>
      </c>
      <c r="F47" s="180">
        <v>0</v>
      </c>
      <c r="G47"/>
      <c r="M47" s="157"/>
      <c r="N47" s="224"/>
      <c r="O47" s="225"/>
      <c r="P47" s="225"/>
      <c r="Q47" s="225"/>
      <c r="R47" s="225"/>
      <c r="S47" s="159"/>
      <c r="T47" s="159">
        <f t="shared" si="1"/>
        <v>0</v>
      </c>
      <c r="U47" s="159"/>
      <c r="V47" s="226">
        <f t="shared" si="2"/>
        <v>0</v>
      </c>
      <c r="W47" s="227"/>
      <c r="X47" s="159">
        <v>669.88</v>
      </c>
      <c r="Y47" s="227"/>
      <c r="Z47" s="159">
        <v>0</v>
      </c>
      <c r="AA47" s="227"/>
      <c r="AB47" s="159">
        <f t="shared" si="3"/>
        <v>669.88</v>
      </c>
      <c r="AC47" s="159"/>
      <c r="AD47" s="226" t="str">
        <f t="shared" si="4"/>
        <v>N.M.</v>
      </c>
      <c r="AE47" s="159"/>
      <c r="AF47" s="159">
        <v>1102.61</v>
      </c>
      <c r="AG47" s="159"/>
      <c r="AH47" s="159">
        <v>507.12</v>
      </c>
      <c r="AI47" s="159"/>
      <c r="AJ47" s="159">
        <f t="shared" si="5"/>
        <v>595.4899999999999</v>
      </c>
      <c r="AK47" s="159"/>
      <c r="AL47" s="226">
        <f t="shared" si="6"/>
        <v>1.1742585581321974</v>
      </c>
      <c r="AM47" s="159"/>
      <c r="AN47" s="159">
        <v>1102.61</v>
      </c>
    </row>
    <row r="48" spans="1:40" ht="15">
      <c r="A48" s="195">
        <f t="shared" si="8"/>
        <v>25</v>
      </c>
      <c r="B48" s="328" t="s">
        <v>665</v>
      </c>
      <c r="C48" s="642" t="s">
        <v>666</v>
      </c>
      <c r="D48" s="329">
        <v>0</v>
      </c>
      <c r="E48" s="180">
        <f t="shared" si="7"/>
        <v>0</v>
      </c>
      <c r="F48" s="180"/>
      <c r="G48"/>
      <c r="M48" s="157"/>
      <c r="N48" s="224"/>
      <c r="O48" s="225"/>
      <c r="P48" s="225"/>
      <c r="Q48" s="225"/>
      <c r="R48" s="225"/>
      <c r="S48" s="159"/>
      <c r="T48" s="159"/>
      <c r="U48" s="159"/>
      <c r="V48" s="226"/>
      <c r="W48" s="227"/>
      <c r="X48" s="159"/>
      <c r="Y48" s="227"/>
      <c r="Z48" s="159"/>
      <c r="AA48" s="227"/>
      <c r="AB48" s="159"/>
      <c r="AC48" s="159"/>
      <c r="AD48" s="226"/>
      <c r="AE48" s="159"/>
      <c r="AF48" s="159"/>
      <c r="AG48" s="159"/>
      <c r="AH48" s="159"/>
      <c r="AI48" s="159"/>
      <c r="AJ48" s="159"/>
      <c r="AK48" s="159"/>
      <c r="AL48" s="226"/>
      <c r="AM48" s="159"/>
      <c r="AN48" s="159"/>
    </row>
    <row r="49" spans="1:40" ht="15">
      <c r="A49" s="195">
        <f t="shared" si="8"/>
        <v>26</v>
      </c>
      <c r="B49" s="327" t="s">
        <v>51</v>
      </c>
      <c r="C49" s="642" t="s">
        <v>52</v>
      </c>
      <c r="D49" s="329">
        <v>0</v>
      </c>
      <c r="E49" s="180">
        <f t="shared" si="7"/>
        <v>0</v>
      </c>
      <c r="F49" s="180">
        <v>0</v>
      </c>
      <c r="G49"/>
      <c r="M49" s="157"/>
      <c r="N49" s="224"/>
      <c r="O49" s="225"/>
      <c r="P49" s="225"/>
      <c r="Q49" s="225"/>
      <c r="R49" s="225"/>
      <c r="S49" s="159"/>
      <c r="T49" s="159">
        <f t="shared" si="1"/>
        <v>0</v>
      </c>
      <c r="U49" s="159"/>
      <c r="V49" s="226">
        <f t="shared" si="2"/>
        <v>0</v>
      </c>
      <c r="W49" s="227"/>
      <c r="X49" s="159">
        <v>770.59</v>
      </c>
      <c r="Y49" s="227"/>
      <c r="Z49" s="159">
        <v>831.165</v>
      </c>
      <c r="AA49" s="227"/>
      <c r="AB49" s="159">
        <f t="shared" si="3"/>
        <v>-60.57499999999993</v>
      </c>
      <c r="AC49" s="159"/>
      <c r="AD49" s="226">
        <f t="shared" si="4"/>
        <v>-0.07287963280455738</v>
      </c>
      <c r="AE49" s="159"/>
      <c r="AF49" s="159">
        <v>1852.4</v>
      </c>
      <c r="AG49" s="159"/>
      <c r="AH49" s="159">
        <v>2020.914</v>
      </c>
      <c r="AI49" s="159"/>
      <c r="AJ49" s="159">
        <f t="shared" si="5"/>
        <v>-168.5139999999999</v>
      </c>
      <c r="AK49" s="159"/>
      <c r="AL49" s="226">
        <f t="shared" si="6"/>
        <v>-0.08338504260943311</v>
      </c>
      <c r="AM49" s="159"/>
      <c r="AN49" s="159">
        <v>1852.4</v>
      </c>
    </row>
    <row r="50" spans="1:40" ht="15">
      <c r="A50" s="195">
        <f t="shared" si="8"/>
        <v>27</v>
      </c>
      <c r="B50" s="327" t="s">
        <v>779</v>
      </c>
      <c r="C50" s="642" t="s">
        <v>780</v>
      </c>
      <c r="D50" s="329">
        <v>0</v>
      </c>
      <c r="E50" s="180">
        <f t="shared" si="7"/>
        <v>0</v>
      </c>
      <c r="F50" s="180">
        <v>0</v>
      </c>
      <c r="G50"/>
      <c r="M50" s="157"/>
      <c r="N50" s="224"/>
      <c r="O50" s="225"/>
      <c r="P50" s="225"/>
      <c r="Q50" s="225"/>
      <c r="R50" s="225"/>
      <c r="S50" s="159"/>
      <c r="T50" s="159">
        <f t="shared" si="1"/>
        <v>0</v>
      </c>
      <c r="U50" s="159"/>
      <c r="V50" s="226">
        <f t="shared" si="2"/>
        <v>0</v>
      </c>
      <c r="W50" s="227"/>
      <c r="X50" s="159">
        <v>3.37</v>
      </c>
      <c r="Y50" s="227"/>
      <c r="Z50" s="159">
        <v>0</v>
      </c>
      <c r="AA50" s="227"/>
      <c r="AB50" s="159">
        <f t="shared" si="3"/>
        <v>3.37</v>
      </c>
      <c r="AC50" s="159"/>
      <c r="AD50" s="226" t="str">
        <f t="shared" si="4"/>
        <v>N.M.</v>
      </c>
      <c r="AE50" s="159"/>
      <c r="AF50" s="159">
        <v>5.54</v>
      </c>
      <c r="AG50" s="159"/>
      <c r="AH50" s="159">
        <v>106.3</v>
      </c>
      <c r="AI50" s="159"/>
      <c r="AJ50" s="159">
        <f t="shared" si="5"/>
        <v>-100.75999999999999</v>
      </c>
      <c r="AK50" s="159"/>
      <c r="AL50" s="226">
        <f t="shared" si="6"/>
        <v>-0.9478833490122295</v>
      </c>
      <c r="AM50" s="159"/>
      <c r="AN50" s="159">
        <v>5.54</v>
      </c>
    </row>
    <row r="51" spans="1:40" ht="15">
      <c r="A51" s="195">
        <f t="shared" si="8"/>
        <v>28</v>
      </c>
      <c r="B51" s="327" t="s">
        <v>53</v>
      </c>
      <c r="C51" s="642" t="s">
        <v>54</v>
      </c>
      <c r="D51" s="329">
        <v>0</v>
      </c>
      <c r="E51" s="180">
        <f t="shared" si="7"/>
        <v>0</v>
      </c>
      <c r="F51" s="180">
        <v>0</v>
      </c>
      <c r="G51"/>
      <c r="M51" s="157"/>
      <c r="N51" s="224"/>
      <c r="O51" s="225"/>
      <c r="P51" s="225"/>
      <c r="Q51" s="225"/>
      <c r="R51" s="225"/>
      <c r="S51" s="159"/>
      <c r="T51" s="159">
        <f t="shared" si="1"/>
        <v>0</v>
      </c>
      <c r="U51" s="159"/>
      <c r="V51" s="226">
        <f t="shared" si="2"/>
        <v>0</v>
      </c>
      <c r="W51" s="227"/>
      <c r="X51" s="159">
        <v>1007.46</v>
      </c>
      <c r="Y51" s="227"/>
      <c r="Z51" s="159">
        <v>0</v>
      </c>
      <c r="AA51" s="227"/>
      <c r="AB51" s="159">
        <f t="shared" si="3"/>
        <v>1007.46</v>
      </c>
      <c r="AC51" s="159"/>
      <c r="AD51" s="226" t="str">
        <f t="shared" si="4"/>
        <v>N.M.</v>
      </c>
      <c r="AE51" s="159"/>
      <c r="AF51" s="159">
        <v>1007.46</v>
      </c>
      <c r="AG51" s="159"/>
      <c r="AH51" s="159">
        <v>0</v>
      </c>
      <c r="AI51" s="159"/>
      <c r="AJ51" s="159">
        <f t="shared" si="5"/>
        <v>1007.46</v>
      </c>
      <c r="AK51" s="159"/>
      <c r="AL51" s="226" t="str">
        <f t="shared" si="6"/>
        <v>N.M.</v>
      </c>
      <c r="AM51" s="159"/>
      <c r="AN51" s="159">
        <v>1007.46</v>
      </c>
    </row>
    <row r="52" spans="1:40" ht="15">
      <c r="A52" s="195">
        <f t="shared" si="8"/>
        <v>29</v>
      </c>
      <c r="B52" s="327" t="s">
        <v>781</v>
      </c>
      <c r="C52" s="642" t="s">
        <v>782</v>
      </c>
      <c r="D52" s="329">
        <v>0</v>
      </c>
      <c r="E52" s="180">
        <f t="shared" si="7"/>
        <v>0</v>
      </c>
      <c r="F52" s="180">
        <v>0</v>
      </c>
      <c r="G52"/>
      <c r="M52" s="157"/>
      <c r="N52" s="224"/>
      <c r="O52" s="225"/>
      <c r="P52" s="225"/>
      <c r="Q52" s="225"/>
      <c r="R52" s="225"/>
      <c r="S52" s="159"/>
      <c r="T52" s="159">
        <f t="shared" si="1"/>
        <v>0</v>
      </c>
      <c r="U52" s="159"/>
      <c r="V52" s="226">
        <f t="shared" si="2"/>
        <v>0</v>
      </c>
      <c r="W52" s="227"/>
      <c r="X52" s="159">
        <v>9024.171</v>
      </c>
      <c r="Y52" s="227"/>
      <c r="Z52" s="159">
        <v>0</v>
      </c>
      <c r="AA52" s="227"/>
      <c r="AB52" s="159">
        <f t="shared" si="3"/>
        <v>9024.171</v>
      </c>
      <c r="AC52" s="159"/>
      <c r="AD52" s="226" t="str">
        <f t="shared" si="4"/>
        <v>N.M.</v>
      </c>
      <c r="AE52" s="159"/>
      <c r="AF52" s="159">
        <v>78069.979</v>
      </c>
      <c r="AG52" s="159"/>
      <c r="AH52" s="159">
        <v>72939.027</v>
      </c>
      <c r="AI52" s="159"/>
      <c r="AJ52" s="159">
        <f t="shared" si="5"/>
        <v>5130.952000000005</v>
      </c>
      <c r="AK52" s="159"/>
      <c r="AL52" s="226">
        <f t="shared" si="6"/>
        <v>0.07034576976191367</v>
      </c>
      <c r="AM52" s="159"/>
      <c r="AN52" s="159">
        <v>78069.979</v>
      </c>
    </row>
    <row r="53" spans="1:40" ht="15">
      <c r="A53" s="195">
        <f t="shared" si="8"/>
        <v>30</v>
      </c>
      <c r="B53" s="327" t="s">
        <v>783</v>
      </c>
      <c r="C53" s="642" t="s">
        <v>784</v>
      </c>
      <c r="D53" s="329">
        <v>0</v>
      </c>
      <c r="E53" s="180">
        <f t="shared" si="7"/>
        <v>0</v>
      </c>
      <c r="F53" s="180">
        <v>0</v>
      </c>
      <c r="G53"/>
      <c r="M53" s="157"/>
      <c r="N53" s="224"/>
      <c r="O53" s="225"/>
      <c r="P53" s="225"/>
      <c r="Q53" s="225"/>
      <c r="R53" s="225"/>
      <c r="S53" s="159"/>
      <c r="T53" s="159">
        <f t="shared" si="1"/>
        <v>0</v>
      </c>
      <c r="U53" s="159"/>
      <c r="V53" s="226">
        <f t="shared" si="2"/>
        <v>0</v>
      </c>
      <c r="W53" s="227"/>
      <c r="X53" s="159">
        <v>224.86</v>
      </c>
      <c r="Y53" s="227"/>
      <c r="Z53" s="159">
        <v>147.94</v>
      </c>
      <c r="AA53" s="227"/>
      <c r="AB53" s="159">
        <f t="shared" si="3"/>
        <v>76.92000000000002</v>
      </c>
      <c r="AC53" s="159"/>
      <c r="AD53" s="226">
        <f t="shared" si="4"/>
        <v>0.519940516425578</v>
      </c>
      <c r="AE53" s="159"/>
      <c r="AF53" s="159">
        <v>681.06</v>
      </c>
      <c r="AG53" s="159"/>
      <c r="AH53" s="159">
        <v>616.3</v>
      </c>
      <c r="AI53" s="159"/>
      <c r="AJ53" s="159">
        <f t="shared" si="5"/>
        <v>64.75999999999999</v>
      </c>
      <c r="AK53" s="159"/>
      <c r="AL53" s="226">
        <f t="shared" si="6"/>
        <v>0.10507869544053221</v>
      </c>
      <c r="AM53" s="159"/>
      <c r="AN53" s="159">
        <v>681.06</v>
      </c>
    </row>
    <row r="54" spans="1:40" ht="15">
      <c r="A54" s="195">
        <f t="shared" si="8"/>
        <v>31</v>
      </c>
      <c r="B54" s="327" t="s">
        <v>785</v>
      </c>
      <c r="C54" s="642" t="s">
        <v>786</v>
      </c>
      <c r="D54" s="329">
        <v>70</v>
      </c>
      <c r="E54" s="180">
        <f t="shared" si="7"/>
        <v>70</v>
      </c>
      <c r="F54" s="186">
        <v>0</v>
      </c>
      <c r="G54"/>
      <c r="M54" s="157"/>
      <c r="N54" s="224"/>
      <c r="O54" s="225"/>
      <c r="P54" s="225"/>
      <c r="Q54" s="225"/>
      <c r="R54" s="225"/>
      <c r="S54" s="159"/>
      <c r="T54" s="159">
        <f t="shared" si="1"/>
        <v>0</v>
      </c>
      <c r="U54" s="159"/>
      <c r="V54" s="226">
        <f t="shared" si="2"/>
        <v>0</v>
      </c>
      <c r="W54" s="227"/>
      <c r="X54" s="159">
        <v>133376.414</v>
      </c>
      <c r="Y54" s="227"/>
      <c r="Z54" s="159">
        <v>181697.83</v>
      </c>
      <c r="AA54" s="227"/>
      <c r="AB54" s="159">
        <f t="shared" si="3"/>
        <v>-48321.416</v>
      </c>
      <c r="AC54" s="159"/>
      <c r="AD54" s="226">
        <f t="shared" si="4"/>
        <v>-0.26594382552614965</v>
      </c>
      <c r="AE54" s="159"/>
      <c r="AF54" s="159">
        <v>322928.284</v>
      </c>
      <c r="AG54" s="159"/>
      <c r="AH54" s="159">
        <v>370390.32</v>
      </c>
      <c r="AI54" s="159"/>
      <c r="AJ54" s="159">
        <f t="shared" si="5"/>
        <v>-47462.03600000002</v>
      </c>
      <c r="AK54" s="159"/>
      <c r="AL54" s="226">
        <f t="shared" si="6"/>
        <v>-0.1281405950349891</v>
      </c>
      <c r="AM54" s="159"/>
      <c r="AN54" s="159">
        <v>322928.284</v>
      </c>
    </row>
    <row r="55" spans="1:7" ht="15">
      <c r="A55" s="195">
        <f t="shared" si="8"/>
        <v>32</v>
      </c>
      <c r="B55" s="327" t="s">
        <v>850</v>
      </c>
      <c r="C55" s="642" t="s">
        <v>851</v>
      </c>
      <c r="D55" s="329">
        <v>0.06</v>
      </c>
      <c r="E55" s="180">
        <f t="shared" si="7"/>
        <v>0.06</v>
      </c>
      <c r="F55" s="186">
        <v>0</v>
      </c>
      <c r="G55"/>
    </row>
    <row r="56" spans="1:7" ht="15">
      <c r="A56" s="195">
        <f t="shared" si="8"/>
        <v>33</v>
      </c>
      <c r="B56" s="327" t="s">
        <v>880</v>
      </c>
      <c r="C56" s="642" t="s">
        <v>881</v>
      </c>
      <c r="D56" s="329">
        <v>5132</v>
      </c>
      <c r="E56" s="180">
        <f t="shared" si="7"/>
        <v>5132</v>
      </c>
      <c r="F56" s="186">
        <v>0</v>
      </c>
      <c r="G56" s="182"/>
    </row>
    <row r="57" spans="1:7" ht="15">
      <c r="A57" s="195">
        <f t="shared" si="8"/>
        <v>34</v>
      </c>
      <c r="B57" s="327" t="s">
        <v>852</v>
      </c>
      <c r="C57" s="642" t="s">
        <v>853</v>
      </c>
      <c r="D57" s="329">
        <v>0</v>
      </c>
      <c r="E57" s="180">
        <f t="shared" si="7"/>
        <v>0</v>
      </c>
      <c r="F57" s="186">
        <v>0</v>
      </c>
      <c r="G57" s="182"/>
    </row>
    <row r="58" spans="1:7" ht="15">
      <c r="A58" s="195">
        <f t="shared" si="8"/>
        <v>35</v>
      </c>
      <c r="B58" s="327" t="s">
        <v>787</v>
      </c>
      <c r="C58" s="642" t="s">
        <v>788</v>
      </c>
      <c r="D58" s="329">
        <v>3</v>
      </c>
      <c r="E58" s="180">
        <f t="shared" si="7"/>
        <v>3</v>
      </c>
      <c r="F58" s="186">
        <v>0</v>
      </c>
      <c r="G58" s="182"/>
    </row>
    <row r="59" spans="1:7" ht="15">
      <c r="A59" s="195">
        <f t="shared" si="8"/>
        <v>36</v>
      </c>
      <c r="B59" s="327" t="s">
        <v>789</v>
      </c>
      <c r="C59" s="642" t="s">
        <v>790</v>
      </c>
      <c r="D59" s="329">
        <v>2035</v>
      </c>
      <c r="E59" s="180">
        <f t="shared" si="7"/>
        <v>2035</v>
      </c>
      <c r="F59" s="186">
        <v>0</v>
      </c>
      <c r="G59" s="182"/>
    </row>
    <row r="60" spans="2:7" ht="15">
      <c r="B60" s="181"/>
      <c r="C60" s="182"/>
      <c r="D60" s="191"/>
      <c r="E60" s="192"/>
      <c r="F60" s="191"/>
      <c r="G60" s="182"/>
    </row>
    <row r="61" spans="1:7" ht="15.75">
      <c r="A61" s="195">
        <f>+A59+1</f>
        <v>37</v>
      </c>
      <c r="B61" s="187"/>
      <c r="C61" s="746" t="str">
        <f>C41</f>
        <v>Total</v>
      </c>
      <c r="D61" s="193">
        <f>SUM(D44:D60)</f>
        <v>7240.06</v>
      </c>
      <c r="E61" s="193">
        <f>SUM(E44:E60)</f>
        <v>7240.06</v>
      </c>
      <c r="F61" s="193">
        <f>SUM(F44:F55)</f>
        <v>0</v>
      </c>
      <c r="G61" s="158"/>
    </row>
    <row r="62" spans="2:7" ht="12.75" customHeight="1">
      <c r="B62" s="174"/>
      <c r="C62" s="174"/>
      <c r="D62" s="174"/>
      <c r="E62" s="174"/>
      <c r="F62" s="174"/>
      <c r="G62" s="174"/>
    </row>
    <row r="63" spans="2:7" ht="15.75">
      <c r="B63" s="172"/>
      <c r="C63" s="330" t="s">
        <v>18</v>
      </c>
      <c r="D63" s="194"/>
      <c r="E63" s="194"/>
      <c r="F63" s="194"/>
      <c r="G63" s="172"/>
    </row>
    <row r="64" spans="1:11" ht="15">
      <c r="A64" s="195">
        <f>+A61+1</f>
        <v>38</v>
      </c>
      <c r="B64" s="229" t="s">
        <v>888</v>
      </c>
      <c r="C64" s="642" t="s">
        <v>889</v>
      </c>
      <c r="D64" s="642">
        <v>6660</v>
      </c>
      <c r="E64" s="179">
        <f>D64</f>
        <v>6660</v>
      </c>
      <c r="F64" s="179"/>
      <c r="G64" s="157"/>
      <c r="H64" s="224"/>
      <c r="J64" s="159"/>
      <c r="K64" s="159"/>
    </row>
    <row r="65" spans="1:11" ht="15">
      <c r="A65" s="195">
        <f>+A64+1</f>
        <v>39</v>
      </c>
      <c r="B65" s="229" t="s">
        <v>890</v>
      </c>
      <c r="C65" s="642" t="s">
        <v>891</v>
      </c>
      <c r="D65" s="642">
        <v>1152</v>
      </c>
      <c r="E65" s="179">
        <f>D65</f>
        <v>1152</v>
      </c>
      <c r="F65" s="179"/>
      <c r="G65" s="157"/>
      <c r="H65" s="224"/>
      <c r="J65" s="159"/>
      <c r="K65" s="159"/>
    </row>
    <row r="66" spans="1:11" ht="15">
      <c r="A66" s="195">
        <f>+A65+1</f>
        <v>40</v>
      </c>
      <c r="B66" s="229" t="s">
        <v>892</v>
      </c>
      <c r="C66" s="642" t="s">
        <v>0</v>
      </c>
      <c r="D66" s="642">
        <v>3007</v>
      </c>
      <c r="E66" s="179">
        <f>D66</f>
        <v>3007</v>
      </c>
      <c r="F66" s="179"/>
      <c r="G66" s="157"/>
      <c r="H66" s="224"/>
      <c r="J66" s="159"/>
      <c r="K66" s="159"/>
    </row>
    <row r="67" spans="1:11" ht="15">
      <c r="A67" s="195">
        <f>+A66+1</f>
        <v>41</v>
      </c>
      <c r="B67" s="229" t="s">
        <v>514</v>
      </c>
      <c r="C67" s="642" t="s">
        <v>515</v>
      </c>
      <c r="D67" s="642">
        <v>0</v>
      </c>
      <c r="E67" s="179">
        <f>D67</f>
        <v>0</v>
      </c>
      <c r="F67" s="179"/>
      <c r="G67" s="157"/>
      <c r="H67" s="224"/>
      <c r="J67" s="159"/>
      <c r="K67" s="159"/>
    </row>
    <row r="68" spans="1:11" ht="15">
      <c r="A68" s="195">
        <f>+A67+1</f>
        <v>42</v>
      </c>
      <c r="B68" s="1087" t="s">
        <v>114</v>
      </c>
      <c r="C68" s="642" t="s">
        <v>115</v>
      </c>
      <c r="D68" s="642">
        <v>541</v>
      </c>
      <c r="E68" s="179">
        <f>D68</f>
        <v>541</v>
      </c>
      <c r="F68" s="179"/>
      <c r="G68" s="157"/>
      <c r="H68" s="224"/>
      <c r="J68" s="159"/>
      <c r="K68" s="159"/>
    </row>
    <row r="69" spans="1:7" ht="15">
      <c r="A69" s="195">
        <f>+A68+1</f>
        <v>43</v>
      </c>
      <c r="B69" s="229" t="s">
        <v>1</v>
      </c>
      <c r="C69" s="642" t="s">
        <v>537</v>
      </c>
      <c r="D69" s="642">
        <v>36822</v>
      </c>
      <c r="E69" s="179">
        <v>5127</v>
      </c>
      <c r="F69" s="179">
        <v>31695</v>
      </c>
      <c r="G69" s="174"/>
    </row>
    <row r="70" spans="2:7" ht="15">
      <c r="B70" s="174"/>
      <c r="C70" s="174"/>
      <c r="D70" s="174"/>
      <c r="E70" s="174"/>
      <c r="F70" s="174"/>
      <c r="G70" s="174"/>
    </row>
    <row r="71" spans="1:7" ht="15.75">
      <c r="A71" s="195">
        <f>+A69+1</f>
        <v>44</v>
      </c>
      <c r="B71" s="174"/>
      <c r="C71" s="746" t="s">
        <v>713</v>
      </c>
      <c r="D71" s="193">
        <f>SUM(D64:D70)</f>
        <v>48182</v>
      </c>
      <c r="E71" s="193">
        <f>SUM(E64:E70)</f>
        <v>16487</v>
      </c>
      <c r="F71" s="193">
        <f>SUM(F64:F70)</f>
        <v>31695</v>
      </c>
      <c r="G71" s="158"/>
    </row>
    <row r="72" spans="2:7" ht="15">
      <c r="B72" s="262"/>
      <c r="C72" s="149"/>
      <c r="D72" s="149"/>
      <c r="E72" s="149"/>
      <c r="F72" s="149"/>
      <c r="G72" s="149"/>
    </row>
    <row r="73" spans="1:6" ht="12.75">
      <c r="A73"/>
      <c r="B73"/>
      <c r="C73"/>
      <c r="D73"/>
      <c r="E73"/>
      <c r="F73"/>
    </row>
    <row r="74" spans="1:6" ht="12.75">
      <c r="A74"/>
      <c r="B74"/>
      <c r="C74"/>
      <c r="D74"/>
      <c r="E74"/>
      <c r="F74"/>
    </row>
  </sheetData>
  <sheetProtection/>
  <mergeCells count="6">
    <mergeCell ref="A1:G1"/>
    <mergeCell ref="A6:G6"/>
    <mergeCell ref="A5:F5"/>
    <mergeCell ref="A2:G2"/>
    <mergeCell ref="A3:G3"/>
    <mergeCell ref="A4:G4"/>
  </mergeCells>
  <printOptions/>
  <pageMargins left="0.37" right="0.39" top="1" bottom="0.67" header="0.75" footer="0.4"/>
  <pageSetup fitToHeight="1" fitToWidth="1" horizontalDpi="600" verticalDpi="600" orientation="portrait" scale="61"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American Electric Power®</cp:lastModifiedBy>
  <cp:lastPrinted>2011-05-18T18:04:33Z</cp:lastPrinted>
  <dcterms:created xsi:type="dcterms:W3CDTF">2005-06-15T14:56:19Z</dcterms:created>
  <dcterms:modified xsi:type="dcterms:W3CDTF">2012-05-24T14:32:20Z</dcterms:modified>
  <cp:category/>
  <cp:version/>
  <cp:contentType/>
  <cp:contentStatus/>
</cp:coreProperties>
</file>